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TB2\AppData\Local\Microsoft\Windows\INetCache\Content.Outlook\NIFEM48C\"/>
    </mc:Choice>
  </mc:AlternateContent>
  <xr:revisionPtr revIDLastSave="0" documentId="13_ncr:1_{7CEAF77E-3176-46E5-857F-2C6DBCC510D6}" xr6:coauthVersionLast="47" xr6:coauthVersionMax="47" xr10:uidLastSave="{00000000-0000-0000-0000-000000000000}"/>
  <workbookProtection workbookAlgorithmName="SHA-512" workbookHashValue="Cpm2Hjlj7waff4pH7bATVkJEf5BhuBt7zC3++C72+o6hRfA8qAw61XgS9aEQjz73EDf2umaCx81cv54rJ0cEIQ==" workbookSaltValue="pR3e/5G5hENabV0zg6uMpA==" workbookSpinCount="100000" lockStructure="1"/>
  <bookViews>
    <workbookView xWindow="-120" yWindow="-120" windowWidth="29040" windowHeight="15720" activeTab="5" xr2:uid="{00000000-000D-0000-FFFF-FFFF00000000}"/>
  </bookViews>
  <sheets>
    <sheet name="invoices" sheetId="8" r:id="rId1"/>
    <sheet name="assessment" sheetId="1" r:id="rId2"/>
    <sheet name="payroll" sheetId="2" r:id="rId3"/>
    <sheet name="IFR" sheetId="3" r:id="rId4"/>
    <sheet name="claims" sheetId="7" r:id="rId5"/>
    <sheet name="costs" sheetId="5" r:id="rId6"/>
  </sheets>
  <externalReferences>
    <externalReference r:id="rId7"/>
    <externalReference r:id="rId8"/>
  </externalReferences>
  <definedNames>
    <definedName name="_xlnm._FilterDatabase" localSheetId="1" hidden="1">assessment!$P$3:$P$261</definedName>
    <definedName name="_xlnm._FilterDatabase" localSheetId="4" hidden="1">claims!$A$3:$AC$261</definedName>
    <definedName name="_xlnm._FilterDatabase" localSheetId="5" hidden="1">costs!$A$5:$E$261</definedName>
    <definedName name="_xlnm._FilterDatabase" localSheetId="3" hidden="1">IFR!$Z$5:$AB$262</definedName>
    <definedName name="_xlnm._FilterDatabase" localSheetId="0" hidden="1">invoices!$J$5:$J$261</definedName>
    <definedName name="_xlnm._FilterDatabase" localSheetId="2" hidden="1">payroll!$I$5:$I$261</definedName>
    <definedName name="_xlnm.Print_Titles" localSheetId="1">assessment!$1:$3</definedName>
    <definedName name="_xlnm.Print_Titles" localSheetId="4">claims!$A:$B,claims!$1:$3</definedName>
    <definedName name="_xlnm.Print_Titles" localSheetId="5">costs!$1:$3</definedName>
    <definedName name="_xlnm.Print_Titles" localSheetId="3">IFR!$A:$B,IFR!$1:$3</definedName>
    <definedName name="_xlnm.Print_Titles" localSheetId="0">invoices!$1:$3</definedName>
    <definedName name="_xlnm.Print_Titles" localSheetId="2">payroll!$1:$3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8" l="1"/>
  <c r="N262" i="8"/>
  <c r="P267" i="1"/>
  <c r="L5" i="8"/>
  <c r="P5" i="8" l="1"/>
  <c r="O269" i="1"/>
  <c r="J269" i="1"/>
  <c r="C110" i="5" l="1"/>
  <c r="C102" i="5"/>
  <c r="C101" i="5"/>
  <c r="C92" i="5"/>
  <c r="C89" i="5"/>
  <c r="C56" i="5"/>
  <c r="C48" i="5"/>
  <c r="C45" i="5"/>
  <c r="D262" i="5" l="1"/>
  <c r="D110" i="5"/>
  <c r="D101" i="5"/>
  <c r="D92" i="5"/>
  <c r="D89" i="5"/>
  <c r="E110" i="5" l="1"/>
  <c r="E101" i="5"/>
  <c r="E92" i="5"/>
  <c r="E89" i="5"/>
  <c r="E66" i="5"/>
  <c r="E65" i="5"/>
  <c r="D133" i="7" l="1"/>
  <c r="D129" i="7"/>
  <c r="D126" i="7"/>
  <c r="D118" i="7"/>
  <c r="D117" i="7"/>
  <c r="D110" i="7"/>
  <c r="D109" i="7"/>
  <c r="D106" i="7"/>
  <c r="D95" i="7"/>
  <c r="D94" i="7"/>
  <c r="D92" i="7"/>
  <c r="D90" i="7"/>
  <c r="D56" i="7"/>
  <c r="D45" i="7"/>
  <c r="D38" i="7"/>
  <c r="D36" i="7"/>
  <c r="E133" i="7"/>
  <c r="E128" i="7"/>
  <c r="E110" i="7"/>
  <c r="E108" i="7"/>
  <c r="E101" i="7"/>
  <c r="E90" i="7"/>
  <c r="E89" i="7"/>
  <c r="E65" i="7"/>
  <c r="F110" i="7"/>
  <c r="F65" i="7"/>
  <c r="P118" i="3" l="1"/>
  <c r="O118" i="3"/>
  <c r="N118" i="3"/>
  <c r="M118" i="3"/>
  <c r="P116" i="3"/>
  <c r="O116" i="3"/>
  <c r="N116" i="3"/>
  <c r="M116" i="3"/>
  <c r="P110" i="3"/>
  <c r="O110" i="3"/>
  <c r="N110" i="3"/>
  <c r="M110" i="3"/>
  <c r="P107" i="3"/>
  <c r="O107" i="3"/>
  <c r="N107" i="3"/>
  <c r="M107" i="3"/>
  <c r="P65" i="3"/>
  <c r="O65" i="3"/>
  <c r="N65" i="3"/>
  <c r="M65" i="3"/>
  <c r="P35" i="3"/>
  <c r="O35" i="3"/>
  <c r="N35" i="3"/>
  <c r="M35" i="3"/>
  <c r="K198" i="3"/>
  <c r="K118" i="3"/>
  <c r="J118" i="3"/>
  <c r="I118" i="3"/>
  <c r="H118" i="3"/>
  <c r="K110" i="3"/>
  <c r="J110" i="3"/>
  <c r="I110" i="3"/>
  <c r="H110" i="3"/>
  <c r="K107" i="3"/>
  <c r="J107" i="3"/>
  <c r="I107" i="3"/>
  <c r="H107" i="3"/>
  <c r="K65" i="3"/>
  <c r="J65" i="3"/>
  <c r="I65" i="3"/>
  <c r="H65" i="3"/>
  <c r="K35" i="3"/>
  <c r="J35" i="3"/>
  <c r="I35" i="3"/>
  <c r="H35" i="3"/>
  <c r="F262" i="3" l="1"/>
  <c r="F198" i="3"/>
  <c r="F118" i="3"/>
  <c r="E118" i="3"/>
  <c r="D118" i="3"/>
  <c r="C118" i="3"/>
  <c r="F110" i="3"/>
  <c r="E110" i="3"/>
  <c r="D110" i="3"/>
  <c r="C110" i="3"/>
  <c r="E107" i="3"/>
  <c r="D107" i="3"/>
  <c r="C107" i="3"/>
  <c r="F65" i="3"/>
  <c r="E65" i="3"/>
  <c r="D65" i="3"/>
  <c r="C65" i="3"/>
  <c r="F35" i="3"/>
  <c r="E35" i="3"/>
  <c r="D35" i="3"/>
  <c r="C35" i="3"/>
  <c r="D198" i="2"/>
  <c r="C198" i="2"/>
  <c r="E65" i="2"/>
  <c r="D65" i="2"/>
  <c r="C65" i="2"/>
  <c r="D37" i="2"/>
  <c r="E35" i="2"/>
  <c r="D35" i="2"/>
  <c r="C35" i="2"/>
  <c r="C262" i="2"/>
  <c r="D262" i="2"/>
  <c r="E262" i="2"/>
  <c r="C264" i="2"/>
  <c r="D264" i="2"/>
  <c r="E264" i="2"/>
  <c r="G144" i="5" l="1"/>
  <c r="J144" i="5" s="1"/>
  <c r="G144" i="7"/>
  <c r="I144" i="7"/>
  <c r="X149" i="3"/>
  <c r="X150" i="3"/>
  <c r="X151" i="3"/>
  <c r="X152" i="3"/>
  <c r="X153" i="3"/>
  <c r="X154" i="3"/>
  <c r="X155" i="3"/>
  <c r="X156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86" i="3"/>
  <c r="X187" i="3"/>
  <c r="X188" i="3"/>
  <c r="X189" i="3"/>
  <c r="X190" i="3"/>
  <c r="X191" i="3"/>
  <c r="X192" i="3"/>
  <c r="X193" i="3"/>
  <c r="X194" i="3"/>
  <c r="X195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214" i="3"/>
  <c r="X215" i="3"/>
  <c r="X216" i="3"/>
  <c r="X217" i="3"/>
  <c r="X218" i="3"/>
  <c r="X219" i="3"/>
  <c r="X220" i="3"/>
  <c r="X221" i="3"/>
  <c r="X222" i="3"/>
  <c r="X223" i="3"/>
  <c r="X224" i="3"/>
  <c r="X225" i="3"/>
  <c r="X226" i="3"/>
  <c r="X227" i="3"/>
  <c r="X228" i="3"/>
  <c r="X229" i="3"/>
  <c r="X230" i="3"/>
  <c r="X231" i="3"/>
  <c r="X232" i="3"/>
  <c r="X233" i="3"/>
  <c r="X234" i="3"/>
  <c r="X235" i="3"/>
  <c r="X236" i="3"/>
  <c r="X237" i="3"/>
  <c r="X238" i="3"/>
  <c r="X239" i="3"/>
  <c r="X240" i="3"/>
  <c r="X241" i="3"/>
  <c r="X242" i="3"/>
  <c r="X243" i="3"/>
  <c r="X244" i="3"/>
  <c r="X245" i="3"/>
  <c r="X246" i="3"/>
  <c r="X247" i="3"/>
  <c r="X248" i="3"/>
  <c r="X249" i="3"/>
  <c r="X250" i="3"/>
  <c r="X251" i="3"/>
  <c r="X252" i="3"/>
  <c r="X253" i="3"/>
  <c r="X254" i="3"/>
  <c r="X255" i="3"/>
  <c r="X256" i="3"/>
  <c r="X257" i="3"/>
  <c r="X258" i="3"/>
  <c r="X259" i="3"/>
  <c r="X260" i="3"/>
  <c r="X261" i="3"/>
  <c r="X144" i="3"/>
  <c r="X145" i="3"/>
  <c r="X146" i="3"/>
  <c r="X147" i="3"/>
  <c r="X148" i="3"/>
  <c r="W147" i="3"/>
  <c r="W148" i="3"/>
  <c r="W149" i="3"/>
  <c r="W150" i="3"/>
  <c r="W151" i="3"/>
  <c r="W152" i="3"/>
  <c r="W153" i="3"/>
  <c r="W154" i="3"/>
  <c r="W155" i="3"/>
  <c r="W156" i="3"/>
  <c r="W157" i="3"/>
  <c r="W158" i="3"/>
  <c r="W159" i="3"/>
  <c r="W160" i="3"/>
  <c r="W161" i="3"/>
  <c r="W162" i="3"/>
  <c r="W163" i="3"/>
  <c r="W164" i="3"/>
  <c r="W165" i="3"/>
  <c r="W166" i="3"/>
  <c r="W167" i="3"/>
  <c r="W168" i="3"/>
  <c r="W169" i="3"/>
  <c r="W170" i="3"/>
  <c r="W171" i="3"/>
  <c r="W172" i="3"/>
  <c r="W173" i="3"/>
  <c r="W174" i="3"/>
  <c r="W175" i="3"/>
  <c r="W176" i="3"/>
  <c r="W177" i="3"/>
  <c r="W178" i="3"/>
  <c r="W179" i="3"/>
  <c r="W180" i="3"/>
  <c r="W181" i="3"/>
  <c r="W182" i="3"/>
  <c r="W183" i="3"/>
  <c r="W184" i="3"/>
  <c r="W185" i="3"/>
  <c r="W186" i="3"/>
  <c r="W187" i="3"/>
  <c r="W188" i="3"/>
  <c r="W189" i="3"/>
  <c r="W190" i="3"/>
  <c r="W191" i="3"/>
  <c r="W192" i="3"/>
  <c r="W193" i="3"/>
  <c r="W194" i="3"/>
  <c r="W195" i="3"/>
  <c r="W196" i="3"/>
  <c r="W197" i="3"/>
  <c r="W198" i="3"/>
  <c r="W199" i="3"/>
  <c r="W200" i="3"/>
  <c r="W201" i="3"/>
  <c r="W202" i="3"/>
  <c r="W203" i="3"/>
  <c r="W204" i="3"/>
  <c r="W205" i="3"/>
  <c r="W206" i="3"/>
  <c r="W207" i="3"/>
  <c r="W208" i="3"/>
  <c r="W209" i="3"/>
  <c r="W210" i="3"/>
  <c r="W211" i="3"/>
  <c r="W212" i="3"/>
  <c r="W213" i="3"/>
  <c r="W214" i="3"/>
  <c r="W215" i="3"/>
  <c r="W216" i="3"/>
  <c r="W217" i="3"/>
  <c r="W218" i="3"/>
  <c r="W219" i="3"/>
  <c r="W220" i="3"/>
  <c r="W221" i="3"/>
  <c r="W222" i="3"/>
  <c r="W223" i="3"/>
  <c r="W224" i="3"/>
  <c r="W225" i="3"/>
  <c r="W226" i="3"/>
  <c r="W227" i="3"/>
  <c r="W228" i="3"/>
  <c r="W229" i="3"/>
  <c r="W230" i="3"/>
  <c r="W231" i="3"/>
  <c r="W232" i="3"/>
  <c r="W233" i="3"/>
  <c r="W234" i="3"/>
  <c r="W235" i="3"/>
  <c r="W236" i="3"/>
  <c r="W237" i="3"/>
  <c r="W238" i="3"/>
  <c r="W239" i="3"/>
  <c r="W240" i="3"/>
  <c r="W241" i="3"/>
  <c r="W242" i="3"/>
  <c r="W243" i="3"/>
  <c r="W244" i="3"/>
  <c r="W245" i="3"/>
  <c r="W246" i="3"/>
  <c r="W247" i="3"/>
  <c r="W248" i="3"/>
  <c r="W249" i="3"/>
  <c r="W250" i="3"/>
  <c r="W251" i="3"/>
  <c r="W252" i="3"/>
  <c r="W253" i="3"/>
  <c r="W254" i="3"/>
  <c r="W255" i="3"/>
  <c r="W256" i="3"/>
  <c r="W257" i="3"/>
  <c r="W258" i="3"/>
  <c r="W259" i="3"/>
  <c r="W260" i="3"/>
  <c r="W261" i="3"/>
  <c r="W144" i="3"/>
  <c r="W145" i="3"/>
  <c r="W146" i="3"/>
  <c r="V148" i="3"/>
  <c r="V149" i="3"/>
  <c r="V150" i="3"/>
  <c r="V151" i="3"/>
  <c r="V152" i="3"/>
  <c r="V153" i="3"/>
  <c r="V154" i="3"/>
  <c r="V155" i="3"/>
  <c r="V156" i="3"/>
  <c r="V157" i="3"/>
  <c r="V158" i="3"/>
  <c r="V159" i="3"/>
  <c r="V160" i="3"/>
  <c r="V161" i="3"/>
  <c r="V162" i="3"/>
  <c r="V163" i="3"/>
  <c r="V164" i="3"/>
  <c r="V165" i="3"/>
  <c r="V166" i="3"/>
  <c r="V167" i="3"/>
  <c r="V168" i="3"/>
  <c r="V169" i="3"/>
  <c r="V170" i="3"/>
  <c r="V171" i="3"/>
  <c r="V172" i="3"/>
  <c r="V173" i="3"/>
  <c r="V174" i="3"/>
  <c r="V175" i="3"/>
  <c r="V176" i="3"/>
  <c r="V177" i="3"/>
  <c r="V178" i="3"/>
  <c r="V179" i="3"/>
  <c r="V180" i="3"/>
  <c r="V181" i="3"/>
  <c r="V182" i="3"/>
  <c r="V183" i="3"/>
  <c r="V184" i="3"/>
  <c r="V185" i="3"/>
  <c r="V186" i="3"/>
  <c r="V187" i="3"/>
  <c r="V188" i="3"/>
  <c r="V189" i="3"/>
  <c r="V190" i="3"/>
  <c r="V191" i="3"/>
  <c r="V192" i="3"/>
  <c r="V193" i="3"/>
  <c r="V194" i="3"/>
  <c r="V195" i="3"/>
  <c r="V196" i="3"/>
  <c r="V197" i="3"/>
  <c r="V198" i="3"/>
  <c r="V199" i="3"/>
  <c r="V200" i="3"/>
  <c r="V201" i="3"/>
  <c r="V202" i="3"/>
  <c r="V203" i="3"/>
  <c r="V204" i="3"/>
  <c r="V205" i="3"/>
  <c r="V206" i="3"/>
  <c r="V207" i="3"/>
  <c r="V208" i="3"/>
  <c r="V209" i="3"/>
  <c r="V210" i="3"/>
  <c r="V211" i="3"/>
  <c r="V212" i="3"/>
  <c r="V213" i="3"/>
  <c r="V214" i="3"/>
  <c r="V215" i="3"/>
  <c r="V216" i="3"/>
  <c r="V217" i="3"/>
  <c r="V218" i="3"/>
  <c r="V219" i="3"/>
  <c r="V220" i="3"/>
  <c r="V221" i="3"/>
  <c r="V222" i="3"/>
  <c r="V223" i="3"/>
  <c r="V224" i="3"/>
  <c r="V225" i="3"/>
  <c r="V226" i="3"/>
  <c r="V227" i="3"/>
  <c r="V228" i="3"/>
  <c r="V229" i="3"/>
  <c r="V230" i="3"/>
  <c r="V231" i="3"/>
  <c r="V232" i="3"/>
  <c r="V233" i="3"/>
  <c r="V234" i="3"/>
  <c r="V235" i="3"/>
  <c r="V236" i="3"/>
  <c r="V237" i="3"/>
  <c r="V238" i="3"/>
  <c r="V239" i="3"/>
  <c r="V240" i="3"/>
  <c r="V241" i="3"/>
  <c r="V242" i="3"/>
  <c r="V243" i="3"/>
  <c r="V244" i="3"/>
  <c r="V245" i="3"/>
  <c r="V246" i="3"/>
  <c r="V247" i="3"/>
  <c r="V248" i="3"/>
  <c r="V249" i="3"/>
  <c r="V250" i="3"/>
  <c r="V251" i="3"/>
  <c r="V252" i="3"/>
  <c r="V253" i="3"/>
  <c r="V254" i="3"/>
  <c r="V255" i="3"/>
  <c r="V256" i="3"/>
  <c r="V257" i="3"/>
  <c r="V258" i="3"/>
  <c r="V259" i="3"/>
  <c r="V260" i="3"/>
  <c r="V261" i="3"/>
  <c r="V144" i="3"/>
  <c r="V145" i="3"/>
  <c r="V146" i="3"/>
  <c r="V147" i="3"/>
  <c r="Q144" i="3"/>
  <c r="L144" i="3"/>
  <c r="G144" i="3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176" i="8"/>
  <c r="P177" i="8"/>
  <c r="P178" i="8"/>
  <c r="P179" i="8"/>
  <c r="P180" i="8"/>
  <c r="P181" i="8"/>
  <c r="P182" i="8"/>
  <c r="P183" i="8"/>
  <c r="P184" i="8"/>
  <c r="P185" i="8"/>
  <c r="P186" i="8"/>
  <c r="P187" i="8"/>
  <c r="P188" i="8"/>
  <c r="P189" i="8"/>
  <c r="P190" i="8"/>
  <c r="P191" i="8"/>
  <c r="P192" i="8"/>
  <c r="P193" i="8"/>
  <c r="P194" i="8"/>
  <c r="P195" i="8"/>
  <c r="P196" i="8"/>
  <c r="P197" i="8"/>
  <c r="P198" i="8"/>
  <c r="P199" i="8"/>
  <c r="P200" i="8"/>
  <c r="P201" i="8"/>
  <c r="P202" i="8"/>
  <c r="P203" i="8"/>
  <c r="P204" i="8"/>
  <c r="P205" i="8"/>
  <c r="P206" i="8"/>
  <c r="P207" i="8"/>
  <c r="P208" i="8"/>
  <c r="P209" i="8"/>
  <c r="P210" i="8"/>
  <c r="P211" i="8"/>
  <c r="P212" i="8"/>
  <c r="P213" i="8"/>
  <c r="P214" i="8"/>
  <c r="P215" i="8"/>
  <c r="P216" i="8"/>
  <c r="P217" i="8"/>
  <c r="P218" i="8"/>
  <c r="P219" i="8"/>
  <c r="P220" i="8"/>
  <c r="P221" i="8"/>
  <c r="P222" i="8"/>
  <c r="P223" i="8"/>
  <c r="P224" i="8"/>
  <c r="P225" i="8"/>
  <c r="P226" i="8"/>
  <c r="P227" i="8"/>
  <c r="P228" i="8"/>
  <c r="P229" i="8"/>
  <c r="P230" i="8"/>
  <c r="P231" i="8"/>
  <c r="P232" i="8"/>
  <c r="P233" i="8"/>
  <c r="P234" i="8"/>
  <c r="P235" i="8"/>
  <c r="P236" i="8"/>
  <c r="P237" i="8"/>
  <c r="P238" i="8"/>
  <c r="P239" i="8"/>
  <c r="P240" i="8"/>
  <c r="P241" i="8"/>
  <c r="P242" i="8"/>
  <c r="P243" i="8"/>
  <c r="P244" i="8"/>
  <c r="P245" i="8"/>
  <c r="P246" i="8"/>
  <c r="P247" i="8"/>
  <c r="P248" i="8"/>
  <c r="P249" i="8"/>
  <c r="P250" i="8"/>
  <c r="P251" i="8"/>
  <c r="P252" i="8"/>
  <c r="P253" i="8"/>
  <c r="P254" i="8"/>
  <c r="P255" i="8"/>
  <c r="P256" i="8"/>
  <c r="P257" i="8"/>
  <c r="P258" i="8"/>
  <c r="P259" i="8"/>
  <c r="P260" i="8"/>
  <c r="P261" i="8"/>
  <c r="P144" i="8"/>
  <c r="P145" i="8"/>
  <c r="P146" i="8"/>
  <c r="P147" i="8"/>
  <c r="P148" i="8"/>
  <c r="P149" i="8"/>
  <c r="P150" i="8"/>
  <c r="P151" i="8"/>
  <c r="P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176" i="8"/>
  <c r="L177" i="8"/>
  <c r="L178" i="8"/>
  <c r="L179" i="8"/>
  <c r="L180" i="8"/>
  <c r="L181" i="8"/>
  <c r="L182" i="8"/>
  <c r="L183" i="8"/>
  <c r="L184" i="8"/>
  <c r="L185" i="8"/>
  <c r="L186" i="8"/>
  <c r="L187" i="8"/>
  <c r="L188" i="8"/>
  <c r="L189" i="8"/>
  <c r="L190" i="8"/>
  <c r="L191" i="8"/>
  <c r="L192" i="8"/>
  <c r="L193" i="8"/>
  <c r="L194" i="8"/>
  <c r="L195" i="8"/>
  <c r="L196" i="8"/>
  <c r="L197" i="8"/>
  <c r="L198" i="8"/>
  <c r="L199" i="8"/>
  <c r="L200" i="8"/>
  <c r="L201" i="8"/>
  <c r="L202" i="8"/>
  <c r="L203" i="8"/>
  <c r="L204" i="8"/>
  <c r="L205" i="8"/>
  <c r="L206" i="8"/>
  <c r="L207" i="8"/>
  <c r="L208" i="8"/>
  <c r="L209" i="8"/>
  <c r="L210" i="8"/>
  <c r="L211" i="8"/>
  <c r="L212" i="8"/>
  <c r="L213" i="8"/>
  <c r="L214" i="8"/>
  <c r="L215" i="8"/>
  <c r="L216" i="8"/>
  <c r="L217" i="8"/>
  <c r="L218" i="8"/>
  <c r="L219" i="8"/>
  <c r="L220" i="8"/>
  <c r="L221" i="8"/>
  <c r="L222" i="8"/>
  <c r="L223" i="8"/>
  <c r="L224" i="8"/>
  <c r="L225" i="8"/>
  <c r="L226" i="8"/>
  <c r="L227" i="8"/>
  <c r="L228" i="8"/>
  <c r="L229" i="8"/>
  <c r="L230" i="8"/>
  <c r="L231" i="8"/>
  <c r="L232" i="8"/>
  <c r="L233" i="8"/>
  <c r="L234" i="8"/>
  <c r="L235" i="8"/>
  <c r="L236" i="8"/>
  <c r="L237" i="8"/>
  <c r="L238" i="8"/>
  <c r="L239" i="8"/>
  <c r="L240" i="8"/>
  <c r="L241" i="8"/>
  <c r="L242" i="8"/>
  <c r="L243" i="8"/>
  <c r="L244" i="8"/>
  <c r="L245" i="8"/>
  <c r="L246" i="8"/>
  <c r="L247" i="8"/>
  <c r="L248" i="8"/>
  <c r="L249" i="8"/>
  <c r="L250" i="8"/>
  <c r="L251" i="8"/>
  <c r="L252" i="8"/>
  <c r="L253" i="8"/>
  <c r="L254" i="8"/>
  <c r="L255" i="8"/>
  <c r="L256" i="8"/>
  <c r="L257" i="8"/>
  <c r="L258" i="8"/>
  <c r="L259" i="8"/>
  <c r="L260" i="8"/>
  <c r="L261" i="8"/>
  <c r="L144" i="8"/>
  <c r="L145" i="8"/>
  <c r="L146" i="8"/>
  <c r="L147" i="8"/>
  <c r="L148" i="8"/>
  <c r="L149" i="8"/>
  <c r="L150" i="8"/>
  <c r="L151" i="8"/>
  <c r="L152" i="8"/>
  <c r="D262" i="7"/>
  <c r="E262" i="7"/>
  <c r="F262" i="7"/>
  <c r="AA144" i="3" l="1"/>
  <c r="Z144" i="3"/>
  <c r="R144" i="3"/>
  <c r="AB144" i="3"/>
  <c r="AD144" i="3" l="1"/>
  <c r="J144" i="7" s="1"/>
  <c r="K144" i="7" s="1"/>
  <c r="L144" i="7" s="1"/>
  <c r="P144" i="7" s="1"/>
  <c r="P6" i="8"/>
  <c r="Q139" i="3" l="1"/>
  <c r="G56" i="7" l="1"/>
  <c r="Q105" i="3"/>
  <c r="G102" i="7"/>
  <c r="I102" i="7"/>
  <c r="I89" i="7"/>
  <c r="F89" i="2"/>
  <c r="F56" i="2"/>
  <c r="P93" i="8" l="1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92" i="8"/>
  <c r="P50" i="8"/>
  <c r="P31" i="8"/>
  <c r="P91" i="8"/>
  <c r="F138" i="2" l="1"/>
  <c r="D264" i="7" l="1"/>
  <c r="L138" i="3" l="1"/>
  <c r="L31" i="8" l="1"/>
  <c r="X31" i="3"/>
  <c r="W31" i="3"/>
  <c r="V31" i="3"/>
  <c r="N264" i="8" l="1"/>
  <c r="K262" i="8"/>
  <c r="H262" i="8"/>
  <c r="F105" i="2" l="1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9" i="2"/>
  <c r="F140" i="2"/>
  <c r="F141" i="2"/>
  <c r="F142" i="2"/>
  <c r="F143" i="2"/>
  <c r="F104" i="2"/>
  <c r="Q31" i="3"/>
  <c r="AB31" i="3" s="1"/>
  <c r="F32" i="2"/>
  <c r="F31" i="2"/>
  <c r="L31" i="3"/>
  <c r="AA31" i="3" s="1"/>
  <c r="G31" i="3"/>
  <c r="Z31" i="3" s="1"/>
  <c r="G31" i="7"/>
  <c r="I31" i="7"/>
  <c r="G31" i="5"/>
  <c r="J31" i="5" s="1"/>
  <c r="AD31" i="3" l="1"/>
  <c r="J31" i="7" s="1"/>
  <c r="K31" i="7" s="1"/>
  <c r="L31" i="7" s="1"/>
  <c r="P31" i="7" s="1"/>
  <c r="R31" i="3"/>
  <c r="P268" i="1"/>
  <c r="F264" i="7" l="1"/>
  <c r="P7" i="8" l="1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M262" i="8"/>
  <c r="L78" i="8"/>
  <c r="L93" i="8"/>
  <c r="L115" i="8"/>
  <c r="L138" i="8"/>
  <c r="L139" i="8"/>
  <c r="M264" i="8" l="1"/>
  <c r="P262" i="8"/>
  <c r="P264" i="8" s="1"/>
  <c r="K264" i="8" l="1"/>
  <c r="G157" i="5" l="1"/>
  <c r="J157" i="5" s="1"/>
  <c r="G157" i="7"/>
  <c r="I157" i="7"/>
  <c r="Q157" i="3"/>
  <c r="AB157" i="3" s="1"/>
  <c r="L157" i="3"/>
  <c r="AA157" i="3" s="1"/>
  <c r="G155" i="3"/>
  <c r="Z155" i="3" s="1"/>
  <c r="G157" i="3"/>
  <c r="Z157" i="3" s="1"/>
  <c r="AD157" i="3" s="1"/>
  <c r="J157" i="7" s="1"/>
  <c r="K157" i="7" s="1"/>
  <c r="L157" i="7" s="1"/>
  <c r="P157" i="7" s="1"/>
  <c r="E262" i="5"/>
  <c r="R157" i="3" l="1"/>
  <c r="G105" i="3" l="1"/>
  <c r="R262" i="1"/>
  <c r="O262" i="1"/>
  <c r="L143" i="8" l="1"/>
  <c r="L142" i="8"/>
  <c r="L141" i="8"/>
  <c r="L140" i="8"/>
  <c r="L137" i="8"/>
  <c r="L136" i="8"/>
  <c r="L135" i="8"/>
  <c r="L134" i="8"/>
  <c r="L133" i="8"/>
  <c r="L132" i="8"/>
  <c r="L131" i="8"/>
  <c r="L130" i="8"/>
  <c r="L129" i="8"/>
  <c r="L128" i="8"/>
  <c r="L127" i="8"/>
  <c r="L126" i="8"/>
  <c r="L125" i="8"/>
  <c r="L124" i="8"/>
  <c r="L123" i="8"/>
  <c r="L122" i="8"/>
  <c r="L121" i="8"/>
  <c r="L120" i="8"/>
  <c r="L119" i="8"/>
  <c r="L118" i="8"/>
  <c r="L117" i="8"/>
  <c r="L116" i="8"/>
  <c r="L114" i="8"/>
  <c r="L113" i="8"/>
  <c r="L112" i="8"/>
  <c r="L111" i="8"/>
  <c r="L110" i="8"/>
  <c r="L109" i="8"/>
  <c r="L108" i="8"/>
  <c r="L107" i="8"/>
  <c r="L106" i="8"/>
  <c r="L105" i="8"/>
  <c r="L104" i="8"/>
  <c r="L103" i="8"/>
  <c r="L102" i="8"/>
  <c r="L101" i="8"/>
  <c r="L100" i="8"/>
  <c r="L99" i="8"/>
  <c r="L98" i="8"/>
  <c r="L97" i="8"/>
  <c r="L96" i="8"/>
  <c r="L95" i="8"/>
  <c r="L94" i="8"/>
  <c r="L92" i="8"/>
  <c r="L91" i="8"/>
  <c r="L90" i="8"/>
  <c r="L89" i="8"/>
  <c r="L88" i="8"/>
  <c r="L87" i="8"/>
  <c r="L86" i="8"/>
  <c r="L85" i="8"/>
  <c r="L84" i="8"/>
  <c r="L83" i="8"/>
  <c r="L82" i="8"/>
  <c r="L81" i="8"/>
  <c r="L80" i="8"/>
  <c r="L79" i="8"/>
  <c r="L77" i="8"/>
  <c r="L76" i="8"/>
  <c r="L75" i="8"/>
  <c r="L74" i="8"/>
  <c r="L73" i="8"/>
  <c r="L72" i="8"/>
  <c r="L71" i="8"/>
  <c r="L70" i="8"/>
  <c r="L69" i="8"/>
  <c r="L68" i="8"/>
  <c r="L67" i="8"/>
  <c r="L66" i="8"/>
  <c r="L65" i="8"/>
  <c r="L64" i="8"/>
  <c r="L63" i="8"/>
  <c r="L62" i="8"/>
  <c r="L61" i="8"/>
  <c r="L60" i="8"/>
  <c r="L59" i="8"/>
  <c r="L58" i="8"/>
  <c r="L57" i="8"/>
  <c r="L56" i="8"/>
  <c r="L55" i="8"/>
  <c r="L54" i="8"/>
  <c r="L53" i="8"/>
  <c r="L52" i="8"/>
  <c r="L51" i="8"/>
  <c r="L50" i="8"/>
  <c r="L49" i="8"/>
  <c r="L48" i="8"/>
  <c r="L47" i="8"/>
  <c r="L46" i="8"/>
  <c r="L45" i="8"/>
  <c r="L44" i="8"/>
  <c r="L43" i="8"/>
  <c r="L42" i="8"/>
  <c r="L41" i="8"/>
  <c r="L40" i="8"/>
  <c r="L39" i="8"/>
  <c r="L38" i="8"/>
  <c r="L37" i="8"/>
  <c r="L36" i="8"/>
  <c r="L35" i="8"/>
  <c r="L34" i="8"/>
  <c r="L33" i="8"/>
  <c r="L32" i="8"/>
  <c r="L30" i="8"/>
  <c r="L29" i="8"/>
  <c r="L28" i="8"/>
  <c r="L27" i="8"/>
  <c r="L26" i="8"/>
  <c r="L25" i="8"/>
  <c r="L24" i="8"/>
  <c r="L23" i="8"/>
  <c r="L22" i="8"/>
  <c r="L21" i="8"/>
  <c r="L20" i="8"/>
  <c r="L19" i="8"/>
  <c r="L262" i="8" l="1"/>
  <c r="L18" i="8"/>
  <c r="L17" i="8"/>
  <c r="L16" i="8"/>
  <c r="L15" i="8"/>
  <c r="L14" i="8"/>
  <c r="L13" i="8"/>
  <c r="L12" i="8"/>
  <c r="L11" i="8"/>
  <c r="L10" i="8"/>
  <c r="L9" i="8"/>
  <c r="L8" i="8"/>
  <c r="L7" i="8"/>
  <c r="L6" i="8"/>
  <c r="L264" i="8" l="1"/>
  <c r="R264" i="1"/>
  <c r="X138" i="3"/>
  <c r="X139" i="3"/>
  <c r="X140" i="3"/>
  <c r="X141" i="3"/>
  <c r="X142" i="3"/>
  <c r="X143" i="3"/>
  <c r="W138" i="3"/>
  <c r="W139" i="3"/>
  <c r="W140" i="3"/>
  <c r="W141" i="3"/>
  <c r="W142" i="3"/>
  <c r="W143" i="3"/>
  <c r="V140" i="3"/>
  <c r="V141" i="3"/>
  <c r="V142" i="3"/>
  <c r="V143" i="3"/>
  <c r="V138" i="3"/>
  <c r="V139" i="3"/>
  <c r="G139" i="5"/>
  <c r="J139" i="5" s="1"/>
  <c r="G138" i="5"/>
  <c r="J138" i="5" s="1"/>
  <c r="G139" i="7"/>
  <c r="I139" i="7"/>
  <c r="G138" i="7"/>
  <c r="I138" i="7"/>
  <c r="Q138" i="3"/>
  <c r="L139" i="3"/>
  <c r="G139" i="3"/>
  <c r="R139" i="3" s="1"/>
  <c r="G138" i="3"/>
  <c r="R138" i="3" s="1"/>
  <c r="AB138" i="3" l="1"/>
  <c r="Z139" i="3"/>
  <c r="AA139" i="3"/>
  <c r="AA138" i="3"/>
  <c r="Z138" i="3"/>
  <c r="AB139" i="3"/>
  <c r="AD138" i="3" l="1"/>
  <c r="J138" i="7" s="1"/>
  <c r="K138" i="7" s="1"/>
  <c r="L138" i="7" s="1"/>
  <c r="P138" i="7" s="1"/>
  <c r="AD139" i="3"/>
  <c r="J139" i="7" s="1"/>
  <c r="K139" i="7" s="1"/>
  <c r="L139" i="7" s="1"/>
  <c r="P139" i="7" s="1"/>
  <c r="G105" i="5"/>
  <c r="J105" i="5" s="1"/>
  <c r="I105" i="7"/>
  <c r="G105" i="7"/>
  <c r="X105" i="3"/>
  <c r="W105" i="3"/>
  <c r="V105" i="3"/>
  <c r="Z105" i="3" s="1"/>
  <c r="L105" i="3"/>
  <c r="R105" i="3" s="1"/>
  <c r="AB105" i="3" l="1"/>
  <c r="AA105" i="3"/>
  <c r="AD105" i="3" l="1"/>
  <c r="J105" i="7" s="1"/>
  <c r="K105" i="7" s="1"/>
  <c r="L105" i="7" s="1"/>
  <c r="P105" i="7" s="1"/>
  <c r="P262" i="3"/>
  <c r="V5" i="3" l="1"/>
  <c r="G5" i="5" l="1"/>
  <c r="J5" i="5" s="1"/>
  <c r="Q5" i="3"/>
  <c r="L5" i="3"/>
  <c r="G5" i="3"/>
  <c r="Q262" i="5"/>
  <c r="W262" i="7"/>
  <c r="W264" i="7" s="1"/>
  <c r="R5" i="3" l="1"/>
  <c r="V6" i="3" l="1"/>
  <c r="W6" i="3"/>
  <c r="X6" i="3"/>
  <c r="V7" i="3"/>
  <c r="W7" i="3"/>
  <c r="X7" i="3"/>
  <c r="V8" i="3"/>
  <c r="W8" i="3"/>
  <c r="X8" i="3"/>
  <c r="V9" i="3"/>
  <c r="W9" i="3"/>
  <c r="X9" i="3"/>
  <c r="V10" i="3"/>
  <c r="W10" i="3"/>
  <c r="X10" i="3"/>
  <c r="V11" i="3"/>
  <c r="W11" i="3"/>
  <c r="X11" i="3"/>
  <c r="V12" i="3"/>
  <c r="W12" i="3"/>
  <c r="X12" i="3"/>
  <c r="V13" i="3"/>
  <c r="W13" i="3"/>
  <c r="X13" i="3"/>
  <c r="V14" i="3"/>
  <c r="W14" i="3"/>
  <c r="X14" i="3"/>
  <c r="V15" i="3"/>
  <c r="W15" i="3"/>
  <c r="X15" i="3"/>
  <c r="V16" i="3"/>
  <c r="W16" i="3"/>
  <c r="X16" i="3"/>
  <c r="V17" i="3"/>
  <c r="W17" i="3"/>
  <c r="X17" i="3"/>
  <c r="V18" i="3"/>
  <c r="W18" i="3"/>
  <c r="X18" i="3"/>
  <c r="V19" i="3"/>
  <c r="W19" i="3"/>
  <c r="X19" i="3"/>
  <c r="V20" i="3"/>
  <c r="W20" i="3"/>
  <c r="X20" i="3"/>
  <c r="V21" i="3"/>
  <c r="W21" i="3"/>
  <c r="X21" i="3"/>
  <c r="V22" i="3"/>
  <c r="W22" i="3"/>
  <c r="X22" i="3"/>
  <c r="V23" i="3"/>
  <c r="W23" i="3"/>
  <c r="X23" i="3"/>
  <c r="V24" i="3"/>
  <c r="W24" i="3"/>
  <c r="X24" i="3"/>
  <c r="V25" i="3"/>
  <c r="W25" i="3"/>
  <c r="X25" i="3"/>
  <c r="V26" i="3"/>
  <c r="W26" i="3"/>
  <c r="X26" i="3"/>
  <c r="V27" i="3"/>
  <c r="W27" i="3"/>
  <c r="X27" i="3"/>
  <c r="V28" i="3"/>
  <c r="W28" i="3"/>
  <c r="X28" i="3"/>
  <c r="V29" i="3"/>
  <c r="W29" i="3"/>
  <c r="X29" i="3"/>
  <c r="V30" i="3"/>
  <c r="W30" i="3"/>
  <c r="X30" i="3"/>
  <c r="V32" i="3"/>
  <c r="W32" i="3"/>
  <c r="X32" i="3"/>
  <c r="V33" i="3"/>
  <c r="W33" i="3"/>
  <c r="X33" i="3"/>
  <c r="V34" i="3"/>
  <c r="W34" i="3"/>
  <c r="X34" i="3"/>
  <c r="V35" i="3"/>
  <c r="W35" i="3"/>
  <c r="X35" i="3"/>
  <c r="V36" i="3"/>
  <c r="W36" i="3"/>
  <c r="X36" i="3"/>
  <c r="V37" i="3"/>
  <c r="W37" i="3"/>
  <c r="X37" i="3"/>
  <c r="V38" i="3"/>
  <c r="W38" i="3"/>
  <c r="X38" i="3"/>
  <c r="V39" i="3"/>
  <c r="W39" i="3"/>
  <c r="X39" i="3"/>
  <c r="V40" i="3"/>
  <c r="W40" i="3"/>
  <c r="X40" i="3"/>
  <c r="V41" i="3"/>
  <c r="W41" i="3"/>
  <c r="X41" i="3"/>
  <c r="V42" i="3"/>
  <c r="W42" i="3"/>
  <c r="X42" i="3"/>
  <c r="V43" i="3"/>
  <c r="W43" i="3"/>
  <c r="X43" i="3"/>
  <c r="V44" i="3"/>
  <c r="W44" i="3"/>
  <c r="X44" i="3"/>
  <c r="V45" i="3"/>
  <c r="W45" i="3"/>
  <c r="X45" i="3"/>
  <c r="V46" i="3"/>
  <c r="W46" i="3"/>
  <c r="X46" i="3"/>
  <c r="V47" i="3"/>
  <c r="W47" i="3"/>
  <c r="X47" i="3"/>
  <c r="V48" i="3"/>
  <c r="W48" i="3"/>
  <c r="X48" i="3"/>
  <c r="V49" i="3"/>
  <c r="W49" i="3"/>
  <c r="X49" i="3"/>
  <c r="V50" i="3"/>
  <c r="W50" i="3"/>
  <c r="X50" i="3"/>
  <c r="V51" i="3"/>
  <c r="W51" i="3"/>
  <c r="X51" i="3"/>
  <c r="V52" i="3"/>
  <c r="W52" i="3"/>
  <c r="X52" i="3"/>
  <c r="V53" i="3"/>
  <c r="W53" i="3"/>
  <c r="X53" i="3"/>
  <c r="V54" i="3"/>
  <c r="W54" i="3"/>
  <c r="X54" i="3"/>
  <c r="V55" i="3"/>
  <c r="W55" i="3"/>
  <c r="X55" i="3"/>
  <c r="V56" i="3"/>
  <c r="W56" i="3"/>
  <c r="X56" i="3"/>
  <c r="V57" i="3"/>
  <c r="W57" i="3"/>
  <c r="X57" i="3"/>
  <c r="V58" i="3"/>
  <c r="W58" i="3"/>
  <c r="X58" i="3"/>
  <c r="V59" i="3"/>
  <c r="W59" i="3"/>
  <c r="X59" i="3"/>
  <c r="V60" i="3"/>
  <c r="W60" i="3"/>
  <c r="X60" i="3"/>
  <c r="V61" i="3"/>
  <c r="W61" i="3"/>
  <c r="X61" i="3"/>
  <c r="V62" i="3"/>
  <c r="W62" i="3"/>
  <c r="X62" i="3"/>
  <c r="V63" i="3"/>
  <c r="W63" i="3"/>
  <c r="X63" i="3"/>
  <c r="V64" i="3"/>
  <c r="W64" i="3"/>
  <c r="X64" i="3"/>
  <c r="V65" i="3"/>
  <c r="W65" i="3"/>
  <c r="X65" i="3"/>
  <c r="V66" i="3"/>
  <c r="W66" i="3"/>
  <c r="X66" i="3"/>
  <c r="V67" i="3"/>
  <c r="W67" i="3"/>
  <c r="X67" i="3"/>
  <c r="V68" i="3"/>
  <c r="W68" i="3"/>
  <c r="X68" i="3"/>
  <c r="V69" i="3"/>
  <c r="W69" i="3"/>
  <c r="X69" i="3"/>
  <c r="V70" i="3"/>
  <c r="W70" i="3"/>
  <c r="X70" i="3"/>
  <c r="V71" i="3"/>
  <c r="W71" i="3"/>
  <c r="X71" i="3"/>
  <c r="V72" i="3"/>
  <c r="W72" i="3"/>
  <c r="X72" i="3"/>
  <c r="V73" i="3"/>
  <c r="W73" i="3"/>
  <c r="X73" i="3"/>
  <c r="V74" i="3"/>
  <c r="W74" i="3"/>
  <c r="X74" i="3"/>
  <c r="V75" i="3"/>
  <c r="W75" i="3"/>
  <c r="X75" i="3"/>
  <c r="V76" i="3"/>
  <c r="W76" i="3"/>
  <c r="X76" i="3"/>
  <c r="V77" i="3"/>
  <c r="W77" i="3"/>
  <c r="X77" i="3"/>
  <c r="V78" i="3"/>
  <c r="W78" i="3"/>
  <c r="X78" i="3"/>
  <c r="V79" i="3"/>
  <c r="W79" i="3"/>
  <c r="X79" i="3"/>
  <c r="V80" i="3"/>
  <c r="W80" i="3"/>
  <c r="X80" i="3"/>
  <c r="V81" i="3"/>
  <c r="W81" i="3"/>
  <c r="X81" i="3"/>
  <c r="V82" i="3"/>
  <c r="W82" i="3"/>
  <c r="X82" i="3"/>
  <c r="V83" i="3"/>
  <c r="W83" i="3"/>
  <c r="X83" i="3"/>
  <c r="V84" i="3"/>
  <c r="W84" i="3"/>
  <c r="X84" i="3"/>
  <c r="V85" i="3"/>
  <c r="W85" i="3"/>
  <c r="X85" i="3"/>
  <c r="V86" i="3"/>
  <c r="W86" i="3"/>
  <c r="X86" i="3"/>
  <c r="V87" i="3"/>
  <c r="W87" i="3"/>
  <c r="X87" i="3"/>
  <c r="V88" i="3"/>
  <c r="W88" i="3"/>
  <c r="X88" i="3"/>
  <c r="V89" i="3"/>
  <c r="W89" i="3"/>
  <c r="X89" i="3"/>
  <c r="V90" i="3"/>
  <c r="W90" i="3"/>
  <c r="X90" i="3"/>
  <c r="V91" i="3"/>
  <c r="W91" i="3"/>
  <c r="X91" i="3"/>
  <c r="V92" i="3"/>
  <c r="W92" i="3"/>
  <c r="X92" i="3"/>
  <c r="V93" i="3"/>
  <c r="W93" i="3"/>
  <c r="X93" i="3"/>
  <c r="V94" i="3"/>
  <c r="W94" i="3"/>
  <c r="X94" i="3"/>
  <c r="V95" i="3"/>
  <c r="W95" i="3"/>
  <c r="X95" i="3"/>
  <c r="V96" i="3"/>
  <c r="W96" i="3"/>
  <c r="X96" i="3"/>
  <c r="V97" i="3"/>
  <c r="W97" i="3"/>
  <c r="X97" i="3"/>
  <c r="V98" i="3"/>
  <c r="W98" i="3"/>
  <c r="X98" i="3"/>
  <c r="V99" i="3"/>
  <c r="W99" i="3"/>
  <c r="X99" i="3"/>
  <c r="V100" i="3"/>
  <c r="W100" i="3"/>
  <c r="X100" i="3"/>
  <c r="V101" i="3"/>
  <c r="W101" i="3"/>
  <c r="X101" i="3"/>
  <c r="V102" i="3"/>
  <c r="W102" i="3"/>
  <c r="X102" i="3"/>
  <c r="V103" i="3"/>
  <c r="W103" i="3"/>
  <c r="X103" i="3"/>
  <c r="V104" i="3"/>
  <c r="W104" i="3"/>
  <c r="X104" i="3"/>
  <c r="V106" i="3"/>
  <c r="W106" i="3"/>
  <c r="X106" i="3"/>
  <c r="V107" i="3"/>
  <c r="W107" i="3"/>
  <c r="X107" i="3"/>
  <c r="V108" i="3"/>
  <c r="W108" i="3"/>
  <c r="X108" i="3"/>
  <c r="V109" i="3"/>
  <c r="W109" i="3"/>
  <c r="X109" i="3"/>
  <c r="V110" i="3"/>
  <c r="W110" i="3"/>
  <c r="X110" i="3"/>
  <c r="V111" i="3"/>
  <c r="W111" i="3"/>
  <c r="X111" i="3"/>
  <c r="V112" i="3"/>
  <c r="W112" i="3"/>
  <c r="X112" i="3"/>
  <c r="V113" i="3"/>
  <c r="W113" i="3"/>
  <c r="X113" i="3"/>
  <c r="V114" i="3"/>
  <c r="W114" i="3"/>
  <c r="X114" i="3"/>
  <c r="V115" i="3"/>
  <c r="W115" i="3"/>
  <c r="X115" i="3"/>
  <c r="V116" i="3"/>
  <c r="W116" i="3"/>
  <c r="X116" i="3"/>
  <c r="V117" i="3"/>
  <c r="W117" i="3"/>
  <c r="X117" i="3"/>
  <c r="V118" i="3"/>
  <c r="W118" i="3"/>
  <c r="X118" i="3"/>
  <c r="V119" i="3"/>
  <c r="W119" i="3"/>
  <c r="X119" i="3"/>
  <c r="V120" i="3"/>
  <c r="W120" i="3"/>
  <c r="X120" i="3"/>
  <c r="V121" i="3"/>
  <c r="W121" i="3"/>
  <c r="X121" i="3"/>
  <c r="V122" i="3"/>
  <c r="W122" i="3"/>
  <c r="X122" i="3"/>
  <c r="V123" i="3"/>
  <c r="W123" i="3"/>
  <c r="X123" i="3"/>
  <c r="V124" i="3"/>
  <c r="W124" i="3"/>
  <c r="X124" i="3"/>
  <c r="V125" i="3"/>
  <c r="W125" i="3"/>
  <c r="X125" i="3"/>
  <c r="V126" i="3"/>
  <c r="W126" i="3"/>
  <c r="X126" i="3"/>
  <c r="V127" i="3"/>
  <c r="W127" i="3"/>
  <c r="X127" i="3"/>
  <c r="V128" i="3"/>
  <c r="W128" i="3"/>
  <c r="X128" i="3"/>
  <c r="V129" i="3"/>
  <c r="W129" i="3"/>
  <c r="X129" i="3"/>
  <c r="V130" i="3"/>
  <c r="W130" i="3"/>
  <c r="X130" i="3"/>
  <c r="V131" i="3"/>
  <c r="W131" i="3"/>
  <c r="X131" i="3"/>
  <c r="V132" i="3"/>
  <c r="W132" i="3"/>
  <c r="X132" i="3"/>
  <c r="V133" i="3"/>
  <c r="W133" i="3"/>
  <c r="X133" i="3"/>
  <c r="V134" i="3"/>
  <c r="W134" i="3"/>
  <c r="X134" i="3"/>
  <c r="V135" i="3"/>
  <c r="W135" i="3"/>
  <c r="X135" i="3"/>
  <c r="V136" i="3"/>
  <c r="W136" i="3"/>
  <c r="X136" i="3"/>
  <c r="V137" i="3"/>
  <c r="W137" i="3"/>
  <c r="X137" i="3"/>
  <c r="W5" i="3"/>
  <c r="X5" i="3"/>
  <c r="F103" i="2" l="1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O262" i="3"/>
  <c r="N262" i="3"/>
  <c r="M262" i="3"/>
  <c r="K262" i="3"/>
  <c r="J262" i="3"/>
  <c r="I262" i="3"/>
  <c r="H262" i="3"/>
  <c r="E262" i="3"/>
  <c r="D262" i="3"/>
  <c r="C262" i="3"/>
  <c r="Q261" i="3"/>
  <c r="AB261" i="3" s="1"/>
  <c r="L261" i="3"/>
  <c r="AA261" i="3" s="1"/>
  <c r="G261" i="3"/>
  <c r="Z261" i="3" s="1"/>
  <c r="Q260" i="3"/>
  <c r="AB260" i="3" s="1"/>
  <c r="L260" i="3"/>
  <c r="AA260" i="3" s="1"/>
  <c r="G260" i="3"/>
  <c r="Z260" i="3" s="1"/>
  <c r="AD260" i="3" s="1"/>
  <c r="J260" i="7" s="1"/>
  <c r="K260" i="7" s="1"/>
  <c r="Q259" i="3"/>
  <c r="AB259" i="3" s="1"/>
  <c r="L259" i="3"/>
  <c r="AA259" i="3" s="1"/>
  <c r="G259" i="3"/>
  <c r="Z259" i="3" s="1"/>
  <c r="Q258" i="3"/>
  <c r="AB258" i="3" s="1"/>
  <c r="L258" i="3"/>
  <c r="AA258" i="3" s="1"/>
  <c r="G258" i="3"/>
  <c r="Z258" i="3" s="1"/>
  <c r="Q257" i="3"/>
  <c r="AB257" i="3" s="1"/>
  <c r="L257" i="3"/>
  <c r="AA257" i="3" s="1"/>
  <c r="G257" i="3"/>
  <c r="Z257" i="3" s="1"/>
  <c r="AD257" i="3" s="1"/>
  <c r="J257" i="7" s="1"/>
  <c r="K257" i="7" s="1"/>
  <c r="L257" i="7" s="1"/>
  <c r="P257" i="7" s="1"/>
  <c r="Q256" i="3"/>
  <c r="AB256" i="3" s="1"/>
  <c r="L256" i="3"/>
  <c r="AA256" i="3" s="1"/>
  <c r="G256" i="3"/>
  <c r="Z256" i="3" s="1"/>
  <c r="Q255" i="3"/>
  <c r="AB255" i="3" s="1"/>
  <c r="L255" i="3"/>
  <c r="AA255" i="3" s="1"/>
  <c r="G255" i="3"/>
  <c r="Z255" i="3" s="1"/>
  <c r="AD255" i="3" s="1"/>
  <c r="J255" i="7" s="1"/>
  <c r="K255" i="7" s="1"/>
  <c r="Q254" i="3"/>
  <c r="AB254" i="3" s="1"/>
  <c r="L254" i="3"/>
  <c r="AA254" i="3" s="1"/>
  <c r="G254" i="3"/>
  <c r="Z254" i="3" s="1"/>
  <c r="Q253" i="3"/>
  <c r="AB253" i="3" s="1"/>
  <c r="L253" i="3"/>
  <c r="AA253" i="3" s="1"/>
  <c r="G253" i="3"/>
  <c r="Z253" i="3" s="1"/>
  <c r="Q252" i="3"/>
  <c r="AB252" i="3" s="1"/>
  <c r="L252" i="3"/>
  <c r="AA252" i="3" s="1"/>
  <c r="G252" i="3"/>
  <c r="Z252" i="3" s="1"/>
  <c r="Q251" i="3"/>
  <c r="AB251" i="3" s="1"/>
  <c r="L251" i="3"/>
  <c r="AA251" i="3" s="1"/>
  <c r="G251" i="3"/>
  <c r="Z251" i="3" s="1"/>
  <c r="Q250" i="3"/>
  <c r="AB250" i="3" s="1"/>
  <c r="L250" i="3"/>
  <c r="AA250" i="3" s="1"/>
  <c r="G250" i="3"/>
  <c r="Z250" i="3" s="1"/>
  <c r="Q249" i="3"/>
  <c r="AB249" i="3" s="1"/>
  <c r="L249" i="3"/>
  <c r="AA249" i="3" s="1"/>
  <c r="G249" i="3"/>
  <c r="Z249" i="3" s="1"/>
  <c r="Q248" i="3"/>
  <c r="AB248" i="3" s="1"/>
  <c r="L248" i="3"/>
  <c r="AA248" i="3" s="1"/>
  <c r="G248" i="3"/>
  <c r="Z248" i="3" s="1"/>
  <c r="Q247" i="3"/>
  <c r="AB247" i="3" s="1"/>
  <c r="L247" i="3"/>
  <c r="AA247" i="3" s="1"/>
  <c r="G247" i="3"/>
  <c r="Z247" i="3" s="1"/>
  <c r="Q246" i="3"/>
  <c r="AB246" i="3" s="1"/>
  <c r="L246" i="3"/>
  <c r="AA246" i="3" s="1"/>
  <c r="G246" i="3"/>
  <c r="Z246" i="3" s="1"/>
  <c r="AD246" i="3" s="1"/>
  <c r="J246" i="7" s="1"/>
  <c r="K246" i="7" s="1"/>
  <c r="Q245" i="3"/>
  <c r="AB245" i="3" s="1"/>
  <c r="L245" i="3"/>
  <c r="AA245" i="3" s="1"/>
  <c r="G245" i="3"/>
  <c r="Z245" i="3" s="1"/>
  <c r="Q244" i="3"/>
  <c r="AB244" i="3" s="1"/>
  <c r="L244" i="3"/>
  <c r="AA244" i="3" s="1"/>
  <c r="G244" i="3"/>
  <c r="Z244" i="3" s="1"/>
  <c r="Q243" i="3"/>
  <c r="AB243" i="3" s="1"/>
  <c r="L243" i="3"/>
  <c r="AA243" i="3" s="1"/>
  <c r="G243" i="3"/>
  <c r="Z243" i="3" s="1"/>
  <c r="Q242" i="3"/>
  <c r="AB242" i="3" s="1"/>
  <c r="L242" i="3"/>
  <c r="AA242" i="3" s="1"/>
  <c r="G242" i="3"/>
  <c r="Z242" i="3" s="1"/>
  <c r="Q241" i="3"/>
  <c r="AB241" i="3" s="1"/>
  <c r="L241" i="3"/>
  <c r="AA241" i="3" s="1"/>
  <c r="G241" i="3"/>
  <c r="Z241" i="3" s="1"/>
  <c r="AD241" i="3" s="1"/>
  <c r="J241" i="7" s="1"/>
  <c r="K241" i="7" s="1"/>
  <c r="L241" i="7" s="1"/>
  <c r="P241" i="7" s="1"/>
  <c r="Q240" i="3"/>
  <c r="AB240" i="3" s="1"/>
  <c r="L240" i="3"/>
  <c r="AA240" i="3" s="1"/>
  <c r="G240" i="3"/>
  <c r="Z240" i="3" s="1"/>
  <c r="Q239" i="3"/>
  <c r="AB239" i="3" s="1"/>
  <c r="L239" i="3"/>
  <c r="AA239" i="3" s="1"/>
  <c r="G239" i="3"/>
  <c r="Z239" i="3" s="1"/>
  <c r="Q238" i="3"/>
  <c r="AB238" i="3" s="1"/>
  <c r="L238" i="3"/>
  <c r="AA238" i="3" s="1"/>
  <c r="G238" i="3"/>
  <c r="Z238" i="3" s="1"/>
  <c r="Q237" i="3"/>
  <c r="AB237" i="3" s="1"/>
  <c r="L237" i="3"/>
  <c r="AA237" i="3" s="1"/>
  <c r="G237" i="3"/>
  <c r="Z237" i="3" s="1"/>
  <c r="AD237" i="3" s="1"/>
  <c r="J237" i="7" s="1"/>
  <c r="K237" i="7" s="1"/>
  <c r="Q236" i="3"/>
  <c r="AB236" i="3" s="1"/>
  <c r="L236" i="3"/>
  <c r="AA236" i="3" s="1"/>
  <c r="G236" i="3"/>
  <c r="Z236" i="3" s="1"/>
  <c r="Q235" i="3"/>
  <c r="AB235" i="3" s="1"/>
  <c r="L235" i="3"/>
  <c r="AA235" i="3" s="1"/>
  <c r="G235" i="3"/>
  <c r="Z235" i="3" s="1"/>
  <c r="Q234" i="3"/>
  <c r="AB234" i="3" s="1"/>
  <c r="L234" i="3"/>
  <c r="AA234" i="3" s="1"/>
  <c r="G234" i="3"/>
  <c r="Z234" i="3" s="1"/>
  <c r="Q233" i="3"/>
  <c r="AB233" i="3" s="1"/>
  <c r="L233" i="3"/>
  <c r="AA233" i="3" s="1"/>
  <c r="G233" i="3"/>
  <c r="Z233" i="3" s="1"/>
  <c r="Q232" i="3"/>
  <c r="AB232" i="3" s="1"/>
  <c r="L232" i="3"/>
  <c r="AA232" i="3" s="1"/>
  <c r="G232" i="3"/>
  <c r="Z232" i="3" s="1"/>
  <c r="Q231" i="3"/>
  <c r="AB231" i="3" s="1"/>
  <c r="L231" i="3"/>
  <c r="AA231" i="3" s="1"/>
  <c r="G231" i="3"/>
  <c r="Z231" i="3" s="1"/>
  <c r="Q230" i="3"/>
  <c r="AB230" i="3" s="1"/>
  <c r="L230" i="3"/>
  <c r="AA230" i="3" s="1"/>
  <c r="G230" i="3"/>
  <c r="Z230" i="3" s="1"/>
  <c r="AD230" i="3" s="1"/>
  <c r="J230" i="7" s="1"/>
  <c r="K230" i="7" s="1"/>
  <c r="Q229" i="3"/>
  <c r="AB229" i="3" s="1"/>
  <c r="L229" i="3"/>
  <c r="AA229" i="3" s="1"/>
  <c r="G229" i="3"/>
  <c r="Z229" i="3" s="1"/>
  <c r="Q228" i="3"/>
  <c r="AB228" i="3" s="1"/>
  <c r="L228" i="3"/>
  <c r="AA228" i="3" s="1"/>
  <c r="G228" i="3"/>
  <c r="Z228" i="3" s="1"/>
  <c r="Q227" i="3"/>
  <c r="AB227" i="3" s="1"/>
  <c r="L227" i="3"/>
  <c r="AA227" i="3" s="1"/>
  <c r="G227" i="3"/>
  <c r="Z227" i="3" s="1"/>
  <c r="Q226" i="3"/>
  <c r="AB226" i="3" s="1"/>
  <c r="L226" i="3"/>
  <c r="AA226" i="3" s="1"/>
  <c r="G226" i="3"/>
  <c r="Z226" i="3" s="1"/>
  <c r="Q225" i="3"/>
  <c r="AB225" i="3" s="1"/>
  <c r="L225" i="3"/>
  <c r="AA225" i="3" s="1"/>
  <c r="G225" i="3"/>
  <c r="Z225" i="3" s="1"/>
  <c r="AD225" i="3" s="1"/>
  <c r="J225" i="7" s="1"/>
  <c r="K225" i="7" s="1"/>
  <c r="L225" i="7" s="1"/>
  <c r="P225" i="7" s="1"/>
  <c r="Q224" i="3"/>
  <c r="AB224" i="3" s="1"/>
  <c r="L224" i="3"/>
  <c r="AA224" i="3" s="1"/>
  <c r="G224" i="3"/>
  <c r="Z224" i="3" s="1"/>
  <c r="Q223" i="3"/>
  <c r="AB223" i="3" s="1"/>
  <c r="L223" i="3"/>
  <c r="AA223" i="3" s="1"/>
  <c r="G223" i="3"/>
  <c r="Z223" i="3" s="1"/>
  <c r="Q222" i="3"/>
  <c r="AB222" i="3" s="1"/>
  <c r="L222" i="3"/>
  <c r="AA222" i="3" s="1"/>
  <c r="G222" i="3"/>
  <c r="Z222" i="3" s="1"/>
  <c r="Q221" i="3"/>
  <c r="AB221" i="3" s="1"/>
  <c r="L221" i="3"/>
  <c r="AA221" i="3" s="1"/>
  <c r="G221" i="3"/>
  <c r="Z221" i="3" s="1"/>
  <c r="AD221" i="3" s="1"/>
  <c r="J221" i="7" s="1"/>
  <c r="K221" i="7" s="1"/>
  <c r="Q220" i="3"/>
  <c r="AB220" i="3" s="1"/>
  <c r="L220" i="3"/>
  <c r="AA220" i="3" s="1"/>
  <c r="G220" i="3"/>
  <c r="Z220" i="3" s="1"/>
  <c r="Q219" i="3"/>
  <c r="AB219" i="3" s="1"/>
  <c r="L219" i="3"/>
  <c r="AA219" i="3" s="1"/>
  <c r="G219" i="3"/>
  <c r="Z219" i="3" s="1"/>
  <c r="Q218" i="3"/>
  <c r="AB218" i="3" s="1"/>
  <c r="L218" i="3"/>
  <c r="AA218" i="3" s="1"/>
  <c r="G218" i="3"/>
  <c r="Z218" i="3" s="1"/>
  <c r="Q217" i="3"/>
  <c r="AB217" i="3" s="1"/>
  <c r="L217" i="3"/>
  <c r="AA217" i="3" s="1"/>
  <c r="G217" i="3"/>
  <c r="Z217" i="3" s="1"/>
  <c r="Q213" i="3"/>
  <c r="AB213" i="3" s="1"/>
  <c r="L213" i="3"/>
  <c r="AA213" i="3" s="1"/>
  <c r="G213" i="3"/>
  <c r="Z213" i="3" s="1"/>
  <c r="Q215" i="3"/>
  <c r="AB215" i="3" s="1"/>
  <c r="L215" i="3"/>
  <c r="AA215" i="3" s="1"/>
  <c r="G215" i="3"/>
  <c r="Z215" i="3" s="1"/>
  <c r="Q214" i="3"/>
  <c r="AB214" i="3" s="1"/>
  <c r="L214" i="3"/>
  <c r="AA214" i="3" s="1"/>
  <c r="G214" i="3"/>
  <c r="Z214" i="3" s="1"/>
  <c r="AD214" i="3" s="1"/>
  <c r="J214" i="7" s="1"/>
  <c r="K214" i="7" s="1"/>
  <c r="Q216" i="3"/>
  <c r="AB216" i="3" s="1"/>
  <c r="L216" i="3"/>
  <c r="AA216" i="3" s="1"/>
  <c r="G216" i="3"/>
  <c r="Z216" i="3" s="1"/>
  <c r="Q212" i="3"/>
  <c r="AB212" i="3" s="1"/>
  <c r="L212" i="3"/>
  <c r="AA212" i="3" s="1"/>
  <c r="G212" i="3"/>
  <c r="Z212" i="3" s="1"/>
  <c r="Q211" i="3"/>
  <c r="AB211" i="3" s="1"/>
  <c r="L211" i="3"/>
  <c r="AA211" i="3" s="1"/>
  <c r="G211" i="3"/>
  <c r="Z211" i="3" s="1"/>
  <c r="Q210" i="3"/>
  <c r="AB210" i="3" s="1"/>
  <c r="L210" i="3"/>
  <c r="AA210" i="3" s="1"/>
  <c r="G210" i="3"/>
  <c r="Z210" i="3" s="1"/>
  <c r="Q209" i="3"/>
  <c r="AB209" i="3" s="1"/>
  <c r="L209" i="3"/>
  <c r="AA209" i="3" s="1"/>
  <c r="G209" i="3"/>
  <c r="Z209" i="3" s="1"/>
  <c r="AD209" i="3" s="1"/>
  <c r="J209" i="7" s="1"/>
  <c r="K209" i="7" s="1"/>
  <c r="L209" i="7" s="1"/>
  <c r="P209" i="7" s="1"/>
  <c r="Q208" i="3"/>
  <c r="AB208" i="3" s="1"/>
  <c r="L208" i="3"/>
  <c r="AA208" i="3" s="1"/>
  <c r="G208" i="3"/>
  <c r="Z208" i="3" s="1"/>
  <c r="Q207" i="3"/>
  <c r="AB207" i="3" s="1"/>
  <c r="L207" i="3"/>
  <c r="AA207" i="3" s="1"/>
  <c r="G207" i="3"/>
  <c r="Z207" i="3" s="1"/>
  <c r="Q206" i="3"/>
  <c r="AB206" i="3" s="1"/>
  <c r="L206" i="3"/>
  <c r="AA206" i="3" s="1"/>
  <c r="G206" i="3"/>
  <c r="Z206" i="3" s="1"/>
  <c r="Q205" i="3"/>
  <c r="AB205" i="3" s="1"/>
  <c r="L205" i="3"/>
  <c r="AA205" i="3" s="1"/>
  <c r="G205" i="3"/>
  <c r="Z205" i="3" s="1"/>
  <c r="AD205" i="3" s="1"/>
  <c r="J205" i="7" s="1"/>
  <c r="K205" i="7" s="1"/>
  <c r="Q204" i="3"/>
  <c r="AB204" i="3" s="1"/>
  <c r="L204" i="3"/>
  <c r="AA204" i="3" s="1"/>
  <c r="G204" i="3"/>
  <c r="Z204" i="3" s="1"/>
  <c r="Q203" i="3"/>
  <c r="AB203" i="3" s="1"/>
  <c r="L203" i="3"/>
  <c r="AA203" i="3" s="1"/>
  <c r="G203" i="3"/>
  <c r="Z203" i="3" s="1"/>
  <c r="Q202" i="3"/>
  <c r="AB202" i="3" s="1"/>
  <c r="L202" i="3"/>
  <c r="AA202" i="3" s="1"/>
  <c r="G202" i="3"/>
  <c r="Z202" i="3" s="1"/>
  <c r="Q201" i="3"/>
  <c r="AB201" i="3" s="1"/>
  <c r="L201" i="3"/>
  <c r="AA201" i="3" s="1"/>
  <c r="G201" i="3"/>
  <c r="Z201" i="3" s="1"/>
  <c r="Q200" i="3"/>
  <c r="AB200" i="3" s="1"/>
  <c r="L200" i="3"/>
  <c r="AA200" i="3" s="1"/>
  <c r="G200" i="3"/>
  <c r="Z200" i="3" s="1"/>
  <c r="Q199" i="3"/>
  <c r="AB199" i="3" s="1"/>
  <c r="L199" i="3"/>
  <c r="AA199" i="3" s="1"/>
  <c r="G199" i="3"/>
  <c r="Z199" i="3" s="1"/>
  <c r="Q198" i="3"/>
  <c r="AB198" i="3" s="1"/>
  <c r="L198" i="3"/>
  <c r="AA198" i="3" s="1"/>
  <c r="G198" i="3"/>
  <c r="Z198" i="3" s="1"/>
  <c r="AD198" i="3" s="1"/>
  <c r="J198" i="7" s="1"/>
  <c r="K198" i="7" s="1"/>
  <c r="Q197" i="3"/>
  <c r="AB197" i="3" s="1"/>
  <c r="L197" i="3"/>
  <c r="AA197" i="3" s="1"/>
  <c r="G197" i="3"/>
  <c r="Z197" i="3" s="1"/>
  <c r="Q196" i="3"/>
  <c r="AB196" i="3" s="1"/>
  <c r="L196" i="3"/>
  <c r="AA196" i="3" s="1"/>
  <c r="G196" i="3"/>
  <c r="Z196" i="3" s="1"/>
  <c r="Q195" i="3"/>
  <c r="AB195" i="3" s="1"/>
  <c r="L195" i="3"/>
  <c r="AA195" i="3" s="1"/>
  <c r="G195" i="3"/>
  <c r="Z195" i="3" s="1"/>
  <c r="Q194" i="3"/>
  <c r="AB194" i="3" s="1"/>
  <c r="L194" i="3"/>
  <c r="AA194" i="3" s="1"/>
  <c r="G194" i="3"/>
  <c r="Z194" i="3" s="1"/>
  <c r="Q193" i="3"/>
  <c r="AB193" i="3" s="1"/>
  <c r="L193" i="3"/>
  <c r="AA193" i="3" s="1"/>
  <c r="G193" i="3"/>
  <c r="Z193" i="3" s="1"/>
  <c r="AD193" i="3" s="1"/>
  <c r="J193" i="7" s="1"/>
  <c r="K193" i="7" s="1"/>
  <c r="L193" i="7" s="1"/>
  <c r="P193" i="7" s="1"/>
  <c r="Q192" i="3"/>
  <c r="AB192" i="3" s="1"/>
  <c r="L192" i="3"/>
  <c r="AA192" i="3" s="1"/>
  <c r="G192" i="3"/>
  <c r="Z192" i="3" s="1"/>
  <c r="Q191" i="3"/>
  <c r="AB191" i="3" s="1"/>
  <c r="L191" i="3"/>
  <c r="AA191" i="3" s="1"/>
  <c r="G191" i="3"/>
  <c r="Z191" i="3" s="1"/>
  <c r="Q190" i="3"/>
  <c r="AB190" i="3" s="1"/>
  <c r="L190" i="3"/>
  <c r="AA190" i="3" s="1"/>
  <c r="G190" i="3"/>
  <c r="Z190" i="3" s="1"/>
  <c r="Q189" i="3"/>
  <c r="AB189" i="3" s="1"/>
  <c r="L189" i="3"/>
  <c r="AA189" i="3" s="1"/>
  <c r="G189" i="3"/>
  <c r="Z189" i="3" s="1"/>
  <c r="Q188" i="3"/>
  <c r="AB188" i="3" s="1"/>
  <c r="L188" i="3"/>
  <c r="AA188" i="3" s="1"/>
  <c r="G188" i="3"/>
  <c r="Z188" i="3" s="1"/>
  <c r="Q187" i="3"/>
  <c r="AB187" i="3" s="1"/>
  <c r="L187" i="3"/>
  <c r="AA187" i="3" s="1"/>
  <c r="G187" i="3"/>
  <c r="Z187" i="3" s="1"/>
  <c r="Q186" i="3"/>
  <c r="AB186" i="3" s="1"/>
  <c r="L186" i="3"/>
  <c r="AA186" i="3" s="1"/>
  <c r="G186" i="3"/>
  <c r="Z186" i="3" s="1"/>
  <c r="Q185" i="3"/>
  <c r="AB185" i="3" s="1"/>
  <c r="L185" i="3"/>
  <c r="AA185" i="3" s="1"/>
  <c r="G185" i="3"/>
  <c r="Z185" i="3" s="1"/>
  <c r="Q184" i="3"/>
  <c r="AB184" i="3" s="1"/>
  <c r="L184" i="3"/>
  <c r="AA184" i="3" s="1"/>
  <c r="G184" i="3"/>
  <c r="Z184" i="3" s="1"/>
  <c r="Q183" i="3"/>
  <c r="AB183" i="3" s="1"/>
  <c r="L183" i="3"/>
  <c r="AA183" i="3" s="1"/>
  <c r="G183" i="3"/>
  <c r="Z183" i="3" s="1"/>
  <c r="Q182" i="3"/>
  <c r="AB182" i="3" s="1"/>
  <c r="L182" i="3"/>
  <c r="AA182" i="3" s="1"/>
  <c r="G182" i="3"/>
  <c r="Z182" i="3" s="1"/>
  <c r="Q181" i="3"/>
  <c r="AB181" i="3" s="1"/>
  <c r="L181" i="3"/>
  <c r="AA181" i="3" s="1"/>
  <c r="G181" i="3"/>
  <c r="Z181" i="3" s="1"/>
  <c r="Q180" i="3"/>
  <c r="AB180" i="3" s="1"/>
  <c r="L180" i="3"/>
  <c r="AA180" i="3" s="1"/>
  <c r="G180" i="3"/>
  <c r="Z180" i="3" s="1"/>
  <c r="Q179" i="3"/>
  <c r="AB179" i="3" s="1"/>
  <c r="L179" i="3"/>
  <c r="AA179" i="3" s="1"/>
  <c r="G179" i="3"/>
  <c r="Z179" i="3" s="1"/>
  <c r="Q178" i="3"/>
  <c r="AB178" i="3" s="1"/>
  <c r="L178" i="3"/>
  <c r="AA178" i="3" s="1"/>
  <c r="G178" i="3"/>
  <c r="Z178" i="3" s="1"/>
  <c r="Q177" i="3"/>
  <c r="AB177" i="3" s="1"/>
  <c r="L177" i="3"/>
  <c r="AA177" i="3" s="1"/>
  <c r="G177" i="3"/>
  <c r="Z177" i="3" s="1"/>
  <c r="AD177" i="3" s="1"/>
  <c r="J177" i="7" s="1"/>
  <c r="K177" i="7" s="1"/>
  <c r="L177" i="7" s="1"/>
  <c r="P177" i="7" s="1"/>
  <c r="Q176" i="3"/>
  <c r="AB176" i="3" s="1"/>
  <c r="L176" i="3"/>
  <c r="AA176" i="3" s="1"/>
  <c r="G176" i="3"/>
  <c r="Z176" i="3" s="1"/>
  <c r="Q175" i="3"/>
  <c r="AB175" i="3" s="1"/>
  <c r="L175" i="3"/>
  <c r="AA175" i="3" s="1"/>
  <c r="G175" i="3"/>
  <c r="Z175" i="3" s="1"/>
  <c r="Q174" i="3"/>
  <c r="AB174" i="3" s="1"/>
  <c r="L174" i="3"/>
  <c r="AA174" i="3" s="1"/>
  <c r="G174" i="3"/>
  <c r="Z174" i="3" s="1"/>
  <c r="Q173" i="3"/>
  <c r="AB173" i="3" s="1"/>
  <c r="L173" i="3"/>
  <c r="AA173" i="3" s="1"/>
  <c r="G173" i="3"/>
  <c r="Z173" i="3" s="1"/>
  <c r="Q172" i="3"/>
  <c r="AB172" i="3" s="1"/>
  <c r="L172" i="3"/>
  <c r="AA172" i="3" s="1"/>
  <c r="G172" i="3"/>
  <c r="Z172" i="3" s="1"/>
  <c r="Q171" i="3"/>
  <c r="AB171" i="3" s="1"/>
  <c r="L171" i="3"/>
  <c r="AA171" i="3" s="1"/>
  <c r="G171" i="3"/>
  <c r="Z171" i="3" s="1"/>
  <c r="Q170" i="3"/>
  <c r="AB170" i="3" s="1"/>
  <c r="L170" i="3"/>
  <c r="AA170" i="3" s="1"/>
  <c r="G170" i="3"/>
  <c r="Z170" i="3" s="1"/>
  <c r="Q169" i="3"/>
  <c r="AB169" i="3" s="1"/>
  <c r="L169" i="3"/>
  <c r="AA169" i="3" s="1"/>
  <c r="G169" i="3"/>
  <c r="Z169" i="3" s="1"/>
  <c r="Q168" i="3"/>
  <c r="AB168" i="3" s="1"/>
  <c r="L168" i="3"/>
  <c r="AA168" i="3" s="1"/>
  <c r="G168" i="3"/>
  <c r="Z168" i="3" s="1"/>
  <c r="Q167" i="3"/>
  <c r="AB167" i="3" s="1"/>
  <c r="L167" i="3"/>
  <c r="AA167" i="3" s="1"/>
  <c r="G167" i="3"/>
  <c r="Z167" i="3" s="1"/>
  <c r="Q166" i="3"/>
  <c r="AB166" i="3" s="1"/>
  <c r="L166" i="3"/>
  <c r="AA166" i="3" s="1"/>
  <c r="G166" i="3"/>
  <c r="Z166" i="3" s="1"/>
  <c r="Q165" i="3"/>
  <c r="AB165" i="3" s="1"/>
  <c r="L165" i="3"/>
  <c r="AA165" i="3" s="1"/>
  <c r="G165" i="3"/>
  <c r="Z165" i="3" s="1"/>
  <c r="Q164" i="3"/>
  <c r="AB164" i="3" s="1"/>
  <c r="L164" i="3"/>
  <c r="AA164" i="3" s="1"/>
  <c r="G164" i="3"/>
  <c r="Z164" i="3" s="1"/>
  <c r="Q163" i="3"/>
  <c r="AB163" i="3" s="1"/>
  <c r="L163" i="3"/>
  <c r="AA163" i="3" s="1"/>
  <c r="G163" i="3"/>
  <c r="Z163" i="3" s="1"/>
  <c r="Q162" i="3"/>
  <c r="AB162" i="3" s="1"/>
  <c r="L162" i="3"/>
  <c r="AA162" i="3" s="1"/>
  <c r="G162" i="3"/>
  <c r="Z162" i="3" s="1"/>
  <c r="Q161" i="3"/>
  <c r="AB161" i="3" s="1"/>
  <c r="L161" i="3"/>
  <c r="AA161" i="3" s="1"/>
  <c r="G161" i="3"/>
  <c r="Z161" i="3" s="1"/>
  <c r="AD161" i="3" s="1"/>
  <c r="J161" i="7" s="1"/>
  <c r="K161" i="7" s="1"/>
  <c r="L161" i="7" s="1"/>
  <c r="P161" i="7" s="1"/>
  <c r="Q160" i="3"/>
  <c r="AB160" i="3" s="1"/>
  <c r="L160" i="3"/>
  <c r="AA160" i="3" s="1"/>
  <c r="G160" i="3"/>
  <c r="Z160" i="3" s="1"/>
  <c r="Q159" i="3"/>
  <c r="AB159" i="3" s="1"/>
  <c r="L159" i="3"/>
  <c r="AA159" i="3" s="1"/>
  <c r="G159" i="3"/>
  <c r="Z159" i="3" s="1"/>
  <c r="Q158" i="3"/>
  <c r="AB158" i="3" s="1"/>
  <c r="L158" i="3"/>
  <c r="AA158" i="3" s="1"/>
  <c r="G158" i="3"/>
  <c r="Z158" i="3" s="1"/>
  <c r="Q156" i="3"/>
  <c r="AB156" i="3" s="1"/>
  <c r="L156" i="3"/>
  <c r="AA156" i="3" s="1"/>
  <c r="G156" i="3"/>
  <c r="Z156" i="3" s="1"/>
  <c r="Q155" i="3"/>
  <c r="AB155" i="3" s="1"/>
  <c r="L155" i="3"/>
  <c r="AA155" i="3" s="1"/>
  <c r="AD155" i="3" s="1"/>
  <c r="J155" i="7" s="1"/>
  <c r="K155" i="7" s="1"/>
  <c r="Q154" i="3"/>
  <c r="AB154" i="3" s="1"/>
  <c r="L154" i="3"/>
  <c r="AA154" i="3" s="1"/>
  <c r="G154" i="3"/>
  <c r="Z154" i="3" s="1"/>
  <c r="Q153" i="3"/>
  <c r="AB153" i="3" s="1"/>
  <c r="L153" i="3"/>
  <c r="AA153" i="3" s="1"/>
  <c r="G153" i="3"/>
  <c r="Z153" i="3" s="1"/>
  <c r="Q152" i="3"/>
  <c r="AB152" i="3" s="1"/>
  <c r="L152" i="3"/>
  <c r="AA152" i="3" s="1"/>
  <c r="G152" i="3"/>
  <c r="Z152" i="3" s="1"/>
  <c r="Q151" i="3"/>
  <c r="AB151" i="3" s="1"/>
  <c r="L151" i="3"/>
  <c r="AA151" i="3" s="1"/>
  <c r="G151" i="3"/>
  <c r="Z151" i="3" s="1"/>
  <c r="Q150" i="3"/>
  <c r="AB150" i="3" s="1"/>
  <c r="L150" i="3"/>
  <c r="AA150" i="3" s="1"/>
  <c r="G150" i="3"/>
  <c r="Z150" i="3" s="1"/>
  <c r="Q149" i="3"/>
  <c r="AB149" i="3" s="1"/>
  <c r="L149" i="3"/>
  <c r="AA149" i="3" s="1"/>
  <c r="G149" i="3"/>
  <c r="Z149" i="3" s="1"/>
  <c r="AD149" i="3" s="1"/>
  <c r="J149" i="7" s="1"/>
  <c r="K149" i="7" s="1"/>
  <c r="Q148" i="3"/>
  <c r="AB148" i="3" s="1"/>
  <c r="L148" i="3"/>
  <c r="AA148" i="3" s="1"/>
  <c r="G148" i="3"/>
  <c r="Z148" i="3" s="1"/>
  <c r="Q147" i="3"/>
  <c r="AB147" i="3" s="1"/>
  <c r="L147" i="3"/>
  <c r="AA147" i="3" s="1"/>
  <c r="G147" i="3"/>
  <c r="Z147" i="3" s="1"/>
  <c r="Q146" i="3"/>
  <c r="AB146" i="3" s="1"/>
  <c r="L146" i="3"/>
  <c r="AA146" i="3" s="1"/>
  <c r="G146" i="3"/>
  <c r="Z146" i="3" s="1"/>
  <c r="Q145" i="3"/>
  <c r="AB145" i="3" s="1"/>
  <c r="L145" i="3"/>
  <c r="AA145" i="3" s="1"/>
  <c r="G145" i="3"/>
  <c r="Z145" i="3" s="1"/>
  <c r="Q143" i="3"/>
  <c r="AB143" i="3" s="1"/>
  <c r="L143" i="3"/>
  <c r="G143" i="3"/>
  <c r="Q142" i="3"/>
  <c r="AB142" i="3" s="1"/>
  <c r="L142" i="3"/>
  <c r="G142" i="3"/>
  <c r="Q141" i="3"/>
  <c r="AB141" i="3" s="1"/>
  <c r="L141" i="3"/>
  <c r="G141" i="3"/>
  <c r="Q140" i="3"/>
  <c r="L140" i="3"/>
  <c r="G140" i="3"/>
  <c r="Q137" i="3"/>
  <c r="L137" i="3"/>
  <c r="G137" i="3"/>
  <c r="Q136" i="3"/>
  <c r="L136" i="3"/>
  <c r="G136" i="3"/>
  <c r="Q135" i="3"/>
  <c r="AB135" i="3" s="1"/>
  <c r="L135" i="3"/>
  <c r="G135" i="3"/>
  <c r="Q134" i="3"/>
  <c r="AB134" i="3" s="1"/>
  <c r="L134" i="3"/>
  <c r="G134" i="3"/>
  <c r="Q133" i="3"/>
  <c r="L133" i="3"/>
  <c r="G133" i="3"/>
  <c r="Q132" i="3"/>
  <c r="L132" i="3"/>
  <c r="G132" i="3"/>
  <c r="Q131" i="3"/>
  <c r="AB131" i="3" s="1"/>
  <c r="L131" i="3"/>
  <c r="G131" i="3"/>
  <c r="Q130" i="3"/>
  <c r="AB130" i="3" s="1"/>
  <c r="L130" i="3"/>
  <c r="G130" i="3"/>
  <c r="Q129" i="3"/>
  <c r="L129" i="3"/>
  <c r="G129" i="3"/>
  <c r="Q128" i="3"/>
  <c r="L128" i="3"/>
  <c r="G128" i="3"/>
  <c r="Q127" i="3"/>
  <c r="AB127" i="3" s="1"/>
  <c r="L127" i="3"/>
  <c r="G127" i="3"/>
  <c r="Q126" i="3"/>
  <c r="L126" i="3"/>
  <c r="G126" i="3"/>
  <c r="Q125" i="3"/>
  <c r="L125" i="3"/>
  <c r="G125" i="3"/>
  <c r="Q124" i="3"/>
  <c r="L124" i="3"/>
  <c r="G124" i="3"/>
  <c r="Q123" i="3"/>
  <c r="AB123" i="3" s="1"/>
  <c r="L123" i="3"/>
  <c r="G123" i="3"/>
  <c r="Q122" i="3"/>
  <c r="AB122" i="3" s="1"/>
  <c r="L122" i="3"/>
  <c r="G122" i="3"/>
  <c r="Q121" i="3"/>
  <c r="L121" i="3"/>
  <c r="G121" i="3"/>
  <c r="Z121" i="3" s="1"/>
  <c r="Q120" i="3"/>
  <c r="AB120" i="3" s="1"/>
  <c r="L120" i="3"/>
  <c r="G120" i="3"/>
  <c r="Z120" i="3" s="1"/>
  <c r="Q119" i="3"/>
  <c r="L119" i="3"/>
  <c r="G119" i="3"/>
  <c r="Z119" i="3" s="1"/>
  <c r="Q118" i="3"/>
  <c r="L118" i="3"/>
  <c r="G118" i="3"/>
  <c r="Q117" i="3"/>
  <c r="AB117" i="3" s="1"/>
  <c r="L117" i="3"/>
  <c r="G117" i="3"/>
  <c r="Q116" i="3"/>
  <c r="AB116" i="3" s="1"/>
  <c r="L116" i="3"/>
  <c r="G116" i="3"/>
  <c r="Q115" i="3"/>
  <c r="AB115" i="3" s="1"/>
  <c r="L115" i="3"/>
  <c r="G115" i="3"/>
  <c r="Z115" i="3" s="1"/>
  <c r="Q114" i="3"/>
  <c r="L114" i="3"/>
  <c r="G114" i="3"/>
  <c r="Q113" i="3"/>
  <c r="L113" i="3"/>
  <c r="G113" i="3"/>
  <c r="Z113" i="3" s="1"/>
  <c r="Q112" i="3"/>
  <c r="L112" i="3"/>
  <c r="G112" i="3"/>
  <c r="Z112" i="3" s="1"/>
  <c r="Q111" i="3"/>
  <c r="AB111" i="3" s="1"/>
  <c r="L111" i="3"/>
  <c r="G111" i="3"/>
  <c r="Z111" i="3" s="1"/>
  <c r="Q110" i="3"/>
  <c r="L110" i="3"/>
  <c r="G110" i="3"/>
  <c r="Q109" i="3"/>
  <c r="AB109" i="3" s="1"/>
  <c r="L109" i="3"/>
  <c r="G109" i="3"/>
  <c r="Z109" i="3" s="1"/>
  <c r="Q108" i="3"/>
  <c r="L108" i="3"/>
  <c r="G108" i="3"/>
  <c r="Z108" i="3" s="1"/>
  <c r="Q107" i="3"/>
  <c r="L107" i="3"/>
  <c r="G107" i="3"/>
  <c r="Q106" i="3"/>
  <c r="L106" i="3"/>
  <c r="G106" i="3"/>
  <c r="Z106" i="3" s="1"/>
  <c r="Q104" i="3"/>
  <c r="AB104" i="3" s="1"/>
  <c r="L104" i="3"/>
  <c r="AA104" i="3" s="1"/>
  <c r="G104" i="3"/>
  <c r="Z104" i="3" s="1"/>
  <c r="Q103" i="3"/>
  <c r="L103" i="3"/>
  <c r="G103" i="3"/>
  <c r="Q102" i="3"/>
  <c r="AB102" i="3" s="1"/>
  <c r="L102" i="3"/>
  <c r="G102" i="3"/>
  <c r="Z102" i="3" s="1"/>
  <c r="Q101" i="3"/>
  <c r="L101" i="3"/>
  <c r="G101" i="3"/>
  <c r="Q100" i="3"/>
  <c r="L100" i="3"/>
  <c r="AA100" i="3" s="1"/>
  <c r="G100" i="3"/>
  <c r="Z100" i="3" s="1"/>
  <c r="Q99" i="3"/>
  <c r="AB99" i="3" s="1"/>
  <c r="L99" i="3"/>
  <c r="AA99" i="3" s="1"/>
  <c r="G99" i="3"/>
  <c r="Z99" i="3" s="1"/>
  <c r="Q98" i="3"/>
  <c r="L98" i="3"/>
  <c r="G98" i="3"/>
  <c r="Q97" i="3"/>
  <c r="L97" i="3"/>
  <c r="AA97" i="3" s="1"/>
  <c r="G97" i="3"/>
  <c r="Q96" i="3"/>
  <c r="L96" i="3"/>
  <c r="AA96" i="3" s="1"/>
  <c r="G96" i="3"/>
  <c r="Z96" i="3" s="1"/>
  <c r="Q95" i="3"/>
  <c r="L95" i="3"/>
  <c r="AA95" i="3" s="1"/>
  <c r="G95" i="3"/>
  <c r="Z95" i="3" s="1"/>
  <c r="Q94" i="3"/>
  <c r="L94" i="3"/>
  <c r="AA94" i="3" s="1"/>
  <c r="G94" i="3"/>
  <c r="Z94" i="3" s="1"/>
  <c r="Q93" i="3"/>
  <c r="L93" i="3"/>
  <c r="AA93" i="3" s="1"/>
  <c r="G93" i="3"/>
  <c r="Q92" i="3"/>
  <c r="L92" i="3"/>
  <c r="AA92" i="3" s="1"/>
  <c r="G92" i="3"/>
  <c r="Z92" i="3" s="1"/>
  <c r="Q91" i="3"/>
  <c r="L91" i="3"/>
  <c r="AA91" i="3" s="1"/>
  <c r="G91" i="3"/>
  <c r="Z91" i="3" s="1"/>
  <c r="Q90" i="3"/>
  <c r="L90" i="3"/>
  <c r="AA90" i="3" s="1"/>
  <c r="G90" i="3"/>
  <c r="Q89" i="3"/>
  <c r="L89" i="3"/>
  <c r="G89" i="3"/>
  <c r="Q88" i="3"/>
  <c r="L88" i="3"/>
  <c r="AA88" i="3" s="1"/>
  <c r="G88" i="3"/>
  <c r="Z88" i="3" s="1"/>
  <c r="Q87" i="3"/>
  <c r="L87" i="3"/>
  <c r="G87" i="3"/>
  <c r="Z87" i="3" s="1"/>
  <c r="Q86" i="3"/>
  <c r="L86" i="3"/>
  <c r="AA86" i="3" s="1"/>
  <c r="G86" i="3"/>
  <c r="Z86" i="3" s="1"/>
  <c r="Q85" i="3"/>
  <c r="L85" i="3"/>
  <c r="G85" i="3"/>
  <c r="Z85" i="3" s="1"/>
  <c r="Q84" i="3"/>
  <c r="L84" i="3"/>
  <c r="AA84" i="3" s="1"/>
  <c r="G84" i="3"/>
  <c r="Z84" i="3" s="1"/>
  <c r="Q83" i="3"/>
  <c r="L83" i="3"/>
  <c r="AA83" i="3" s="1"/>
  <c r="G83" i="3"/>
  <c r="Z83" i="3" s="1"/>
  <c r="Q82" i="3"/>
  <c r="L82" i="3"/>
  <c r="AA82" i="3" s="1"/>
  <c r="G82" i="3"/>
  <c r="Q81" i="3"/>
  <c r="L81" i="3"/>
  <c r="AA81" i="3" s="1"/>
  <c r="G81" i="3"/>
  <c r="Q80" i="3"/>
  <c r="L80" i="3"/>
  <c r="AA80" i="3" s="1"/>
  <c r="G80" i="3"/>
  <c r="Q79" i="3"/>
  <c r="L79" i="3"/>
  <c r="AA79" i="3" s="1"/>
  <c r="G79" i="3"/>
  <c r="Z79" i="3" s="1"/>
  <c r="Q78" i="3"/>
  <c r="L78" i="3"/>
  <c r="AA78" i="3" s="1"/>
  <c r="G78" i="3"/>
  <c r="Z78" i="3" s="1"/>
  <c r="Q77" i="3"/>
  <c r="L77" i="3"/>
  <c r="G77" i="3"/>
  <c r="Q76" i="3"/>
  <c r="L76" i="3"/>
  <c r="AA76" i="3" s="1"/>
  <c r="G76" i="3"/>
  <c r="Q75" i="3"/>
  <c r="L75" i="3"/>
  <c r="G75" i="3"/>
  <c r="Z75" i="3" s="1"/>
  <c r="Q74" i="3"/>
  <c r="L74" i="3"/>
  <c r="AA74" i="3" s="1"/>
  <c r="G74" i="3"/>
  <c r="Q73" i="3"/>
  <c r="L73" i="3"/>
  <c r="AA73" i="3" s="1"/>
  <c r="G73" i="3"/>
  <c r="Q72" i="3"/>
  <c r="L72" i="3"/>
  <c r="G72" i="3"/>
  <c r="Z72" i="3" s="1"/>
  <c r="Q71" i="3"/>
  <c r="L71" i="3"/>
  <c r="AA71" i="3" s="1"/>
  <c r="G71" i="3"/>
  <c r="Z71" i="3" s="1"/>
  <c r="Q70" i="3"/>
  <c r="L70" i="3"/>
  <c r="AA70" i="3" s="1"/>
  <c r="G70" i="3"/>
  <c r="Z70" i="3" s="1"/>
  <c r="Q69" i="3"/>
  <c r="L69" i="3"/>
  <c r="AA69" i="3" s="1"/>
  <c r="G69" i="3"/>
  <c r="Z69" i="3" s="1"/>
  <c r="Q68" i="3"/>
  <c r="L68" i="3"/>
  <c r="G68" i="3"/>
  <c r="Z68" i="3" s="1"/>
  <c r="Q67" i="3"/>
  <c r="L67" i="3"/>
  <c r="AA67" i="3" s="1"/>
  <c r="G67" i="3"/>
  <c r="Z67" i="3" s="1"/>
  <c r="Q66" i="3"/>
  <c r="L66" i="3"/>
  <c r="AA66" i="3" s="1"/>
  <c r="G66" i="3"/>
  <c r="Q65" i="3"/>
  <c r="L65" i="3"/>
  <c r="AA65" i="3" s="1"/>
  <c r="G65" i="3"/>
  <c r="Q64" i="3"/>
  <c r="L64" i="3"/>
  <c r="AA64" i="3" s="1"/>
  <c r="G64" i="3"/>
  <c r="Z64" i="3" s="1"/>
  <c r="Q63" i="3"/>
  <c r="L63" i="3"/>
  <c r="AA63" i="3" s="1"/>
  <c r="G63" i="3"/>
  <c r="Q62" i="3"/>
  <c r="L62" i="3"/>
  <c r="AA62" i="3" s="1"/>
  <c r="G62" i="3"/>
  <c r="Z62" i="3" s="1"/>
  <c r="Q61" i="3"/>
  <c r="AB61" i="3" s="1"/>
  <c r="L61" i="3"/>
  <c r="G61" i="3"/>
  <c r="Z61" i="3" s="1"/>
  <c r="Q60" i="3"/>
  <c r="AB60" i="3" s="1"/>
  <c r="L60" i="3"/>
  <c r="AA60" i="3" s="1"/>
  <c r="G60" i="3"/>
  <c r="Q59" i="3"/>
  <c r="L59" i="3"/>
  <c r="AA59" i="3" s="1"/>
  <c r="G59" i="3"/>
  <c r="Z59" i="3" s="1"/>
  <c r="Q58" i="3"/>
  <c r="L58" i="3"/>
  <c r="G58" i="3"/>
  <c r="Z58" i="3" s="1"/>
  <c r="Q57" i="3"/>
  <c r="L57" i="3"/>
  <c r="AA57" i="3" s="1"/>
  <c r="G57" i="3"/>
  <c r="Q56" i="3"/>
  <c r="L56" i="3"/>
  <c r="AA56" i="3" s="1"/>
  <c r="G56" i="3"/>
  <c r="Z56" i="3" s="1"/>
  <c r="Q55" i="3"/>
  <c r="AB55" i="3" s="1"/>
  <c r="L55" i="3"/>
  <c r="AA55" i="3" s="1"/>
  <c r="G55" i="3"/>
  <c r="Q54" i="3"/>
  <c r="L54" i="3"/>
  <c r="G54" i="3"/>
  <c r="Q53" i="3"/>
  <c r="AB53" i="3" s="1"/>
  <c r="L53" i="3"/>
  <c r="AA53" i="3" s="1"/>
  <c r="G53" i="3"/>
  <c r="Z53" i="3" s="1"/>
  <c r="Q52" i="3"/>
  <c r="L52" i="3"/>
  <c r="AA52" i="3" s="1"/>
  <c r="G52" i="3"/>
  <c r="Q51" i="3"/>
  <c r="L51" i="3"/>
  <c r="AA51" i="3" s="1"/>
  <c r="G51" i="3"/>
  <c r="Q50" i="3"/>
  <c r="AB50" i="3" s="1"/>
  <c r="L50" i="3"/>
  <c r="G50" i="3"/>
  <c r="Q49" i="3"/>
  <c r="L49" i="3"/>
  <c r="AA49" i="3" s="1"/>
  <c r="G49" i="3"/>
  <c r="Z49" i="3" s="1"/>
  <c r="Q48" i="3"/>
  <c r="AB48" i="3" s="1"/>
  <c r="L48" i="3"/>
  <c r="G48" i="3"/>
  <c r="Q47" i="3"/>
  <c r="L47" i="3"/>
  <c r="G47" i="3"/>
  <c r="Z47" i="3" s="1"/>
  <c r="Q46" i="3"/>
  <c r="L46" i="3"/>
  <c r="G46" i="3"/>
  <c r="Q45" i="3"/>
  <c r="L45" i="3"/>
  <c r="G45" i="3"/>
  <c r="Q44" i="3"/>
  <c r="L44" i="3"/>
  <c r="AA44" i="3" s="1"/>
  <c r="G44" i="3"/>
  <c r="Q43" i="3"/>
  <c r="AB43" i="3" s="1"/>
  <c r="L43" i="3"/>
  <c r="AA43" i="3" s="1"/>
  <c r="G43" i="3"/>
  <c r="Z43" i="3" s="1"/>
  <c r="Q42" i="3"/>
  <c r="L42" i="3"/>
  <c r="AA42" i="3" s="1"/>
  <c r="G42" i="3"/>
  <c r="Z42" i="3" s="1"/>
  <c r="Q41" i="3"/>
  <c r="AB41" i="3" s="1"/>
  <c r="L41" i="3"/>
  <c r="AA41" i="3" s="1"/>
  <c r="G41" i="3"/>
  <c r="Q40" i="3"/>
  <c r="L40" i="3"/>
  <c r="AA40" i="3" s="1"/>
  <c r="G40" i="3"/>
  <c r="Q39" i="3"/>
  <c r="AB39" i="3" s="1"/>
  <c r="L39" i="3"/>
  <c r="G39" i="3"/>
  <c r="Z39" i="3" s="1"/>
  <c r="Q38" i="3"/>
  <c r="L38" i="3"/>
  <c r="AA38" i="3" s="1"/>
  <c r="G38" i="3"/>
  <c r="Z38" i="3" s="1"/>
  <c r="Q37" i="3"/>
  <c r="L37" i="3"/>
  <c r="G37" i="3"/>
  <c r="Z37" i="3" s="1"/>
  <c r="Q36" i="3"/>
  <c r="L36" i="3"/>
  <c r="AA36" i="3" s="1"/>
  <c r="G36" i="3"/>
  <c r="Q35" i="3"/>
  <c r="AB35" i="3" s="1"/>
  <c r="L35" i="3"/>
  <c r="AA35" i="3" s="1"/>
  <c r="G35" i="3"/>
  <c r="Z35" i="3" s="1"/>
  <c r="Q34" i="3"/>
  <c r="AB34" i="3" s="1"/>
  <c r="L34" i="3"/>
  <c r="AA34" i="3" s="1"/>
  <c r="G34" i="3"/>
  <c r="Z34" i="3" s="1"/>
  <c r="Q33" i="3"/>
  <c r="AB33" i="3" s="1"/>
  <c r="L33" i="3"/>
  <c r="AA33" i="3" s="1"/>
  <c r="G33" i="3"/>
  <c r="Q32" i="3"/>
  <c r="L32" i="3"/>
  <c r="AA32" i="3" s="1"/>
  <c r="G32" i="3"/>
  <c r="Q30" i="3"/>
  <c r="L30" i="3"/>
  <c r="G30" i="3"/>
  <c r="Q29" i="3"/>
  <c r="L29" i="3"/>
  <c r="G29" i="3"/>
  <c r="Q28" i="3"/>
  <c r="L28" i="3"/>
  <c r="G28" i="3"/>
  <c r="Z28" i="3" s="1"/>
  <c r="Q27" i="3"/>
  <c r="L27" i="3"/>
  <c r="AA27" i="3" s="1"/>
  <c r="G27" i="3"/>
  <c r="Z27" i="3" s="1"/>
  <c r="Q26" i="3"/>
  <c r="AB26" i="3" s="1"/>
  <c r="L26" i="3"/>
  <c r="AA26" i="3" s="1"/>
  <c r="G26" i="3"/>
  <c r="Q25" i="3"/>
  <c r="AB25" i="3" s="1"/>
  <c r="L25" i="3"/>
  <c r="AA25" i="3" s="1"/>
  <c r="G25" i="3"/>
  <c r="Z25" i="3" s="1"/>
  <c r="Q24" i="3"/>
  <c r="L24" i="3"/>
  <c r="G24" i="3"/>
  <c r="Z24" i="3" s="1"/>
  <c r="Q23" i="3"/>
  <c r="AB23" i="3" s="1"/>
  <c r="L23" i="3"/>
  <c r="G23" i="3"/>
  <c r="Z23" i="3" s="1"/>
  <c r="Q22" i="3"/>
  <c r="AB22" i="3" s="1"/>
  <c r="L22" i="3"/>
  <c r="G22" i="3"/>
  <c r="Z22" i="3" s="1"/>
  <c r="Q21" i="3"/>
  <c r="L21" i="3"/>
  <c r="AA21" i="3" s="1"/>
  <c r="G21" i="3"/>
  <c r="Q20" i="3"/>
  <c r="L20" i="3"/>
  <c r="G20" i="3"/>
  <c r="Q19" i="3"/>
  <c r="L19" i="3"/>
  <c r="AA19" i="3" s="1"/>
  <c r="G19" i="3"/>
  <c r="Z19" i="3" s="1"/>
  <c r="Q18" i="3"/>
  <c r="AB18" i="3" s="1"/>
  <c r="L18" i="3"/>
  <c r="AA18" i="3" s="1"/>
  <c r="G18" i="3"/>
  <c r="Q17" i="3"/>
  <c r="AB17" i="3" s="1"/>
  <c r="L17" i="3"/>
  <c r="AA17" i="3" s="1"/>
  <c r="G17" i="3"/>
  <c r="Z17" i="3" s="1"/>
  <c r="Q16" i="3"/>
  <c r="AB16" i="3" s="1"/>
  <c r="L16" i="3"/>
  <c r="AA16" i="3" s="1"/>
  <c r="G16" i="3"/>
  <c r="Z16" i="3" s="1"/>
  <c r="Q15" i="3"/>
  <c r="L15" i="3"/>
  <c r="AA15" i="3" s="1"/>
  <c r="G15" i="3"/>
  <c r="Q14" i="3"/>
  <c r="L14" i="3"/>
  <c r="G14" i="3"/>
  <c r="Q13" i="3"/>
  <c r="L13" i="3"/>
  <c r="AA13" i="3" s="1"/>
  <c r="G13" i="3"/>
  <c r="Z13" i="3" s="1"/>
  <c r="Q12" i="3"/>
  <c r="L12" i="3"/>
  <c r="G12" i="3"/>
  <c r="Q11" i="3"/>
  <c r="L11" i="3"/>
  <c r="AA11" i="3" s="1"/>
  <c r="G11" i="3"/>
  <c r="Q10" i="3"/>
  <c r="L10" i="3"/>
  <c r="G10" i="3"/>
  <c r="Q9" i="3"/>
  <c r="L9" i="3"/>
  <c r="AA9" i="3" s="1"/>
  <c r="G9" i="3"/>
  <c r="Q8" i="3"/>
  <c r="L8" i="3"/>
  <c r="AA8" i="3" s="1"/>
  <c r="G8" i="3"/>
  <c r="Z8" i="3" s="1"/>
  <c r="Q7" i="3"/>
  <c r="L7" i="3"/>
  <c r="AA7" i="3" s="1"/>
  <c r="G7" i="3"/>
  <c r="Q6" i="3"/>
  <c r="L6" i="3"/>
  <c r="G6" i="3"/>
  <c r="AA5" i="3"/>
  <c r="J262" i="7"/>
  <c r="I261" i="7"/>
  <c r="G261" i="7"/>
  <c r="I260" i="7"/>
  <c r="G260" i="7"/>
  <c r="I259" i="7"/>
  <c r="G259" i="7"/>
  <c r="I258" i="7"/>
  <c r="G258" i="7"/>
  <c r="I257" i="7"/>
  <c r="G257" i="7"/>
  <c r="I256" i="7"/>
  <c r="G256" i="7"/>
  <c r="I255" i="7"/>
  <c r="G255" i="7"/>
  <c r="I254" i="7"/>
  <c r="G254" i="7"/>
  <c r="I253" i="7"/>
  <c r="G253" i="7"/>
  <c r="I252" i="7"/>
  <c r="G252" i="7"/>
  <c r="I251" i="7"/>
  <c r="G251" i="7"/>
  <c r="I250" i="7"/>
  <c r="G250" i="7"/>
  <c r="I249" i="7"/>
  <c r="G249" i="7"/>
  <c r="I248" i="7"/>
  <c r="G248" i="7"/>
  <c r="I247" i="7"/>
  <c r="G247" i="7"/>
  <c r="I246" i="7"/>
  <c r="G246" i="7"/>
  <c r="I245" i="7"/>
  <c r="G245" i="7"/>
  <c r="I244" i="7"/>
  <c r="G244" i="7"/>
  <c r="I243" i="7"/>
  <c r="G243" i="7"/>
  <c r="I242" i="7"/>
  <c r="G242" i="7"/>
  <c r="I241" i="7"/>
  <c r="G241" i="7"/>
  <c r="I240" i="7"/>
  <c r="G240" i="7"/>
  <c r="I239" i="7"/>
  <c r="G239" i="7"/>
  <c r="I238" i="7"/>
  <c r="G238" i="7"/>
  <c r="I237" i="7"/>
  <c r="G237" i="7"/>
  <c r="I236" i="7"/>
  <c r="G236" i="7"/>
  <c r="I235" i="7"/>
  <c r="G235" i="7"/>
  <c r="I234" i="7"/>
  <c r="G234" i="7"/>
  <c r="I233" i="7"/>
  <c r="G233" i="7"/>
  <c r="I232" i="7"/>
  <c r="G232" i="7"/>
  <c r="I231" i="7"/>
  <c r="G231" i="7"/>
  <c r="I230" i="7"/>
  <c r="G230" i="7"/>
  <c r="I229" i="7"/>
  <c r="G229" i="7"/>
  <c r="I228" i="7"/>
  <c r="G228" i="7"/>
  <c r="I227" i="7"/>
  <c r="G227" i="7"/>
  <c r="I226" i="7"/>
  <c r="G226" i="7"/>
  <c r="I225" i="7"/>
  <c r="G225" i="7"/>
  <c r="I224" i="7"/>
  <c r="G224" i="7"/>
  <c r="I223" i="7"/>
  <c r="G223" i="7"/>
  <c r="I222" i="7"/>
  <c r="G222" i="7"/>
  <c r="I221" i="7"/>
  <c r="G221" i="7"/>
  <c r="I220" i="7"/>
  <c r="G220" i="7"/>
  <c r="I219" i="7"/>
  <c r="G219" i="7"/>
  <c r="I218" i="7"/>
  <c r="G218" i="7"/>
  <c r="I217" i="7"/>
  <c r="G217" i="7"/>
  <c r="I213" i="7"/>
  <c r="G213" i="7"/>
  <c r="I215" i="7"/>
  <c r="G215" i="7"/>
  <c r="I214" i="7"/>
  <c r="G214" i="7"/>
  <c r="I216" i="7"/>
  <c r="G216" i="7"/>
  <c r="I212" i="7"/>
  <c r="G212" i="7"/>
  <c r="I211" i="7"/>
  <c r="G211" i="7"/>
  <c r="I210" i="7"/>
  <c r="G210" i="7"/>
  <c r="I209" i="7"/>
  <c r="G209" i="7"/>
  <c r="I208" i="7"/>
  <c r="G208" i="7"/>
  <c r="I207" i="7"/>
  <c r="G207" i="7"/>
  <c r="I206" i="7"/>
  <c r="G206" i="7"/>
  <c r="I205" i="7"/>
  <c r="G205" i="7"/>
  <c r="I204" i="7"/>
  <c r="G204" i="7"/>
  <c r="I203" i="7"/>
  <c r="G203" i="7"/>
  <c r="I202" i="7"/>
  <c r="G202" i="7"/>
  <c r="I201" i="7"/>
  <c r="G201" i="7"/>
  <c r="I200" i="7"/>
  <c r="G200" i="7"/>
  <c r="I199" i="7"/>
  <c r="G199" i="7"/>
  <c r="I198" i="7"/>
  <c r="G198" i="7"/>
  <c r="I197" i="7"/>
  <c r="G197" i="7"/>
  <c r="I196" i="7"/>
  <c r="G196" i="7"/>
  <c r="I195" i="7"/>
  <c r="G195" i="7"/>
  <c r="I194" i="7"/>
  <c r="G194" i="7"/>
  <c r="I193" i="7"/>
  <c r="G193" i="7"/>
  <c r="I192" i="7"/>
  <c r="G192" i="7"/>
  <c r="I191" i="7"/>
  <c r="G191" i="7"/>
  <c r="I190" i="7"/>
  <c r="G190" i="7"/>
  <c r="I189" i="7"/>
  <c r="G189" i="7"/>
  <c r="I188" i="7"/>
  <c r="G188" i="7"/>
  <c r="I187" i="7"/>
  <c r="G187" i="7"/>
  <c r="I186" i="7"/>
  <c r="G186" i="7"/>
  <c r="I185" i="7"/>
  <c r="G185" i="7"/>
  <c r="I184" i="7"/>
  <c r="G184" i="7"/>
  <c r="I183" i="7"/>
  <c r="G183" i="7"/>
  <c r="I182" i="7"/>
  <c r="G182" i="7"/>
  <c r="I181" i="7"/>
  <c r="G181" i="7"/>
  <c r="I180" i="7"/>
  <c r="G180" i="7"/>
  <c r="I179" i="7"/>
  <c r="G179" i="7"/>
  <c r="I178" i="7"/>
  <c r="G178" i="7"/>
  <c r="I177" i="7"/>
  <c r="G177" i="7"/>
  <c r="I176" i="7"/>
  <c r="G176" i="7"/>
  <c r="I175" i="7"/>
  <c r="G175" i="7"/>
  <c r="I174" i="7"/>
  <c r="G174" i="7"/>
  <c r="I173" i="7"/>
  <c r="G173" i="7"/>
  <c r="I172" i="7"/>
  <c r="G172" i="7"/>
  <c r="I171" i="7"/>
  <c r="G171" i="7"/>
  <c r="I170" i="7"/>
  <c r="G170" i="7"/>
  <c r="I169" i="7"/>
  <c r="G169" i="7"/>
  <c r="I168" i="7"/>
  <c r="G168" i="7"/>
  <c r="I167" i="7"/>
  <c r="G167" i="7"/>
  <c r="I166" i="7"/>
  <c r="G166" i="7"/>
  <c r="I165" i="7"/>
  <c r="G165" i="7"/>
  <c r="I164" i="7"/>
  <c r="G164" i="7"/>
  <c r="I163" i="7"/>
  <c r="G163" i="7"/>
  <c r="I162" i="7"/>
  <c r="G162" i="7"/>
  <c r="I161" i="7"/>
  <c r="G161" i="7"/>
  <c r="I160" i="7"/>
  <c r="G160" i="7"/>
  <c r="I159" i="7"/>
  <c r="G159" i="7"/>
  <c r="I158" i="7"/>
  <c r="G158" i="7"/>
  <c r="I156" i="7"/>
  <c r="G156" i="7"/>
  <c r="I155" i="7"/>
  <c r="G155" i="7"/>
  <c r="I154" i="7"/>
  <c r="G154" i="7"/>
  <c r="I153" i="7"/>
  <c r="G153" i="7"/>
  <c r="I152" i="7"/>
  <c r="G152" i="7"/>
  <c r="I151" i="7"/>
  <c r="G151" i="7"/>
  <c r="I150" i="7"/>
  <c r="G150" i="7"/>
  <c r="I149" i="7"/>
  <c r="G149" i="7"/>
  <c r="I148" i="7"/>
  <c r="G148" i="7"/>
  <c r="I147" i="7"/>
  <c r="G147" i="7"/>
  <c r="I146" i="7"/>
  <c r="G146" i="7"/>
  <c r="I145" i="7"/>
  <c r="G145" i="7"/>
  <c r="I143" i="7"/>
  <c r="G143" i="7"/>
  <c r="I142" i="7"/>
  <c r="G142" i="7"/>
  <c r="I141" i="7"/>
  <c r="G141" i="7"/>
  <c r="I140" i="7"/>
  <c r="G140" i="7"/>
  <c r="I137" i="7"/>
  <c r="G137" i="7"/>
  <c r="I136" i="7"/>
  <c r="G136" i="7"/>
  <c r="I135" i="7"/>
  <c r="G135" i="7"/>
  <c r="I134" i="7"/>
  <c r="G134" i="7"/>
  <c r="I133" i="7"/>
  <c r="G133" i="7"/>
  <c r="I132" i="7"/>
  <c r="G132" i="7"/>
  <c r="I131" i="7"/>
  <c r="G131" i="7"/>
  <c r="I130" i="7"/>
  <c r="G130" i="7"/>
  <c r="I129" i="7"/>
  <c r="G129" i="7"/>
  <c r="I128" i="7"/>
  <c r="G128" i="7"/>
  <c r="I127" i="7"/>
  <c r="G127" i="7"/>
  <c r="I126" i="7"/>
  <c r="G126" i="7"/>
  <c r="I125" i="7"/>
  <c r="G125" i="7"/>
  <c r="I124" i="7"/>
  <c r="G124" i="7"/>
  <c r="I123" i="7"/>
  <c r="G123" i="7"/>
  <c r="I122" i="7"/>
  <c r="G122" i="7"/>
  <c r="I121" i="7"/>
  <c r="G121" i="7"/>
  <c r="I120" i="7"/>
  <c r="G120" i="7"/>
  <c r="I119" i="7"/>
  <c r="G119" i="7"/>
  <c r="I118" i="7"/>
  <c r="G118" i="7"/>
  <c r="I117" i="7"/>
  <c r="G117" i="7"/>
  <c r="I116" i="7"/>
  <c r="G116" i="7"/>
  <c r="I115" i="7"/>
  <c r="G115" i="7"/>
  <c r="I114" i="7"/>
  <c r="G114" i="7"/>
  <c r="I113" i="7"/>
  <c r="G113" i="7"/>
  <c r="I112" i="7"/>
  <c r="G112" i="7"/>
  <c r="I111" i="7"/>
  <c r="G111" i="7"/>
  <c r="I110" i="7"/>
  <c r="G110" i="7"/>
  <c r="I109" i="7"/>
  <c r="G109" i="7"/>
  <c r="I108" i="7"/>
  <c r="G108" i="7"/>
  <c r="I107" i="7"/>
  <c r="G107" i="7"/>
  <c r="I106" i="7"/>
  <c r="G106" i="7"/>
  <c r="I104" i="7"/>
  <c r="G104" i="7"/>
  <c r="I103" i="7"/>
  <c r="G103" i="7"/>
  <c r="I101" i="7"/>
  <c r="G101" i="7"/>
  <c r="I100" i="7"/>
  <c r="G100" i="7"/>
  <c r="I99" i="7"/>
  <c r="G99" i="7"/>
  <c r="I98" i="7"/>
  <c r="G98" i="7"/>
  <c r="I97" i="7"/>
  <c r="G97" i="7"/>
  <c r="I96" i="7"/>
  <c r="G96" i="7"/>
  <c r="I95" i="7"/>
  <c r="G95" i="7"/>
  <c r="I94" i="7"/>
  <c r="G94" i="7"/>
  <c r="I93" i="7"/>
  <c r="G93" i="7"/>
  <c r="I92" i="7"/>
  <c r="G92" i="7"/>
  <c r="I91" i="7"/>
  <c r="G91" i="7"/>
  <c r="I90" i="7"/>
  <c r="G90" i="7"/>
  <c r="G89" i="7"/>
  <c r="I88" i="7"/>
  <c r="G88" i="7"/>
  <c r="I87" i="7"/>
  <c r="G87" i="7"/>
  <c r="I86" i="7"/>
  <c r="G86" i="7"/>
  <c r="I85" i="7"/>
  <c r="G85" i="7"/>
  <c r="I84" i="7"/>
  <c r="G84" i="7"/>
  <c r="I83" i="7"/>
  <c r="G83" i="7"/>
  <c r="I82" i="7"/>
  <c r="G82" i="7"/>
  <c r="I81" i="7"/>
  <c r="G81" i="7"/>
  <c r="I80" i="7"/>
  <c r="G80" i="7"/>
  <c r="I79" i="7"/>
  <c r="G79" i="7"/>
  <c r="I78" i="7"/>
  <c r="G78" i="7"/>
  <c r="I77" i="7"/>
  <c r="G77" i="7"/>
  <c r="I76" i="7"/>
  <c r="G76" i="7"/>
  <c r="I75" i="7"/>
  <c r="G75" i="7"/>
  <c r="I74" i="7"/>
  <c r="G74" i="7"/>
  <c r="I73" i="7"/>
  <c r="G73" i="7"/>
  <c r="I72" i="7"/>
  <c r="G72" i="7"/>
  <c r="I71" i="7"/>
  <c r="G71" i="7"/>
  <c r="I70" i="7"/>
  <c r="G70" i="7"/>
  <c r="I69" i="7"/>
  <c r="G69" i="7"/>
  <c r="I68" i="7"/>
  <c r="G68" i="7"/>
  <c r="I67" i="7"/>
  <c r="G67" i="7"/>
  <c r="I66" i="7"/>
  <c r="G66" i="7"/>
  <c r="I65" i="7"/>
  <c r="G65" i="7"/>
  <c r="I64" i="7"/>
  <c r="G64" i="7"/>
  <c r="I63" i="7"/>
  <c r="G63" i="7"/>
  <c r="I62" i="7"/>
  <c r="G62" i="7"/>
  <c r="I61" i="7"/>
  <c r="G61" i="7"/>
  <c r="I60" i="7"/>
  <c r="G60" i="7"/>
  <c r="I59" i="7"/>
  <c r="G59" i="7"/>
  <c r="I58" i="7"/>
  <c r="G58" i="7"/>
  <c r="I57" i="7"/>
  <c r="G57" i="7"/>
  <c r="I56" i="7"/>
  <c r="I55" i="7"/>
  <c r="G55" i="7"/>
  <c r="I54" i="7"/>
  <c r="G54" i="7"/>
  <c r="I53" i="7"/>
  <c r="G53" i="7"/>
  <c r="I52" i="7"/>
  <c r="G52" i="7"/>
  <c r="I51" i="7"/>
  <c r="G51" i="7"/>
  <c r="I50" i="7"/>
  <c r="G50" i="7"/>
  <c r="I49" i="7"/>
  <c r="G49" i="7"/>
  <c r="I48" i="7"/>
  <c r="G48" i="7"/>
  <c r="I47" i="7"/>
  <c r="G47" i="7"/>
  <c r="I46" i="7"/>
  <c r="G46" i="7"/>
  <c r="I45" i="7"/>
  <c r="G45" i="7"/>
  <c r="I44" i="7"/>
  <c r="G44" i="7"/>
  <c r="I43" i="7"/>
  <c r="G43" i="7"/>
  <c r="I42" i="7"/>
  <c r="G42" i="7"/>
  <c r="I41" i="7"/>
  <c r="G41" i="7"/>
  <c r="I40" i="7"/>
  <c r="G40" i="7"/>
  <c r="I39" i="7"/>
  <c r="G39" i="7"/>
  <c r="I38" i="7"/>
  <c r="G38" i="7"/>
  <c r="I37" i="7"/>
  <c r="G37" i="7"/>
  <c r="I36" i="7"/>
  <c r="G36" i="7"/>
  <c r="I35" i="7"/>
  <c r="G35" i="7"/>
  <c r="I34" i="7"/>
  <c r="G34" i="7"/>
  <c r="I33" i="7"/>
  <c r="G33" i="7"/>
  <c r="I32" i="7"/>
  <c r="G32" i="7"/>
  <c r="I30" i="7"/>
  <c r="G30" i="7"/>
  <c r="I29" i="7"/>
  <c r="G29" i="7"/>
  <c r="I28" i="7"/>
  <c r="G28" i="7"/>
  <c r="I27" i="7"/>
  <c r="G27" i="7"/>
  <c r="I26" i="7"/>
  <c r="G26" i="7"/>
  <c r="I25" i="7"/>
  <c r="G25" i="7"/>
  <c r="I24" i="7"/>
  <c r="G24" i="7"/>
  <c r="I23" i="7"/>
  <c r="G23" i="7"/>
  <c r="I22" i="7"/>
  <c r="G22" i="7"/>
  <c r="I21" i="7"/>
  <c r="G21" i="7"/>
  <c r="I20" i="7"/>
  <c r="G20" i="7"/>
  <c r="I19" i="7"/>
  <c r="G19" i="7"/>
  <c r="I18" i="7"/>
  <c r="G18" i="7"/>
  <c r="I17" i="7"/>
  <c r="G17" i="7"/>
  <c r="I16" i="7"/>
  <c r="G16" i="7"/>
  <c r="I15" i="7"/>
  <c r="G15" i="7"/>
  <c r="I14" i="7"/>
  <c r="G14" i="7"/>
  <c r="I13" i="7"/>
  <c r="G13" i="7"/>
  <c r="I12" i="7"/>
  <c r="G12" i="7"/>
  <c r="I11" i="7"/>
  <c r="G11" i="7"/>
  <c r="I10" i="7"/>
  <c r="G10" i="7"/>
  <c r="I9" i="7"/>
  <c r="G9" i="7"/>
  <c r="I8" i="7"/>
  <c r="G8" i="7"/>
  <c r="I7" i="7"/>
  <c r="G7" i="7"/>
  <c r="I6" i="7"/>
  <c r="G6" i="7"/>
  <c r="I5" i="7"/>
  <c r="G5" i="7"/>
  <c r="E264" i="5"/>
  <c r="C262" i="5"/>
  <c r="C264" i="5" s="1"/>
  <c r="G261" i="5"/>
  <c r="J261" i="5" s="1"/>
  <c r="G260" i="5"/>
  <c r="J260" i="5" s="1"/>
  <c r="G259" i="5"/>
  <c r="J259" i="5" s="1"/>
  <c r="G258" i="5"/>
  <c r="J258" i="5" s="1"/>
  <c r="G257" i="5"/>
  <c r="J257" i="5" s="1"/>
  <c r="G256" i="5"/>
  <c r="J256" i="5" s="1"/>
  <c r="G255" i="5"/>
  <c r="J255" i="5" s="1"/>
  <c r="G254" i="5"/>
  <c r="J254" i="5" s="1"/>
  <c r="G253" i="5"/>
  <c r="J253" i="5" s="1"/>
  <c r="G252" i="5"/>
  <c r="J252" i="5" s="1"/>
  <c r="G251" i="5"/>
  <c r="J251" i="5" s="1"/>
  <c r="G250" i="5"/>
  <c r="J250" i="5" s="1"/>
  <c r="G249" i="5"/>
  <c r="J249" i="5" s="1"/>
  <c r="G248" i="5"/>
  <c r="J248" i="5" s="1"/>
  <c r="G247" i="5"/>
  <c r="J247" i="5" s="1"/>
  <c r="G246" i="5"/>
  <c r="J246" i="5" s="1"/>
  <c r="G245" i="5"/>
  <c r="J245" i="5" s="1"/>
  <c r="G244" i="5"/>
  <c r="J244" i="5" s="1"/>
  <c r="G243" i="5"/>
  <c r="J243" i="5" s="1"/>
  <c r="G242" i="5"/>
  <c r="J242" i="5" s="1"/>
  <c r="G241" i="5"/>
  <c r="J241" i="5" s="1"/>
  <c r="G240" i="5"/>
  <c r="J240" i="5" s="1"/>
  <c r="G239" i="5"/>
  <c r="J239" i="5" s="1"/>
  <c r="G238" i="5"/>
  <c r="J238" i="5" s="1"/>
  <c r="G237" i="5"/>
  <c r="J237" i="5" s="1"/>
  <c r="G236" i="5"/>
  <c r="J236" i="5" s="1"/>
  <c r="G235" i="5"/>
  <c r="J235" i="5" s="1"/>
  <c r="G234" i="5"/>
  <c r="J234" i="5" s="1"/>
  <c r="G233" i="5"/>
  <c r="J233" i="5" s="1"/>
  <c r="G232" i="5"/>
  <c r="J232" i="5" s="1"/>
  <c r="G231" i="5"/>
  <c r="J231" i="5" s="1"/>
  <c r="G230" i="5"/>
  <c r="J230" i="5" s="1"/>
  <c r="G229" i="5"/>
  <c r="J229" i="5" s="1"/>
  <c r="G228" i="5"/>
  <c r="J228" i="5" s="1"/>
  <c r="G227" i="5"/>
  <c r="J227" i="5" s="1"/>
  <c r="G226" i="5"/>
  <c r="J226" i="5" s="1"/>
  <c r="G225" i="5"/>
  <c r="J225" i="5" s="1"/>
  <c r="G224" i="5"/>
  <c r="J224" i="5" s="1"/>
  <c r="G223" i="5"/>
  <c r="J223" i="5" s="1"/>
  <c r="G222" i="5"/>
  <c r="J222" i="5" s="1"/>
  <c r="G221" i="5"/>
  <c r="J221" i="5" s="1"/>
  <c r="G220" i="5"/>
  <c r="J220" i="5" s="1"/>
  <c r="G219" i="5"/>
  <c r="J219" i="5" s="1"/>
  <c r="G218" i="5"/>
  <c r="J218" i="5" s="1"/>
  <c r="G217" i="5"/>
  <c r="J217" i="5" s="1"/>
  <c r="G213" i="5"/>
  <c r="J213" i="5" s="1"/>
  <c r="G215" i="5"/>
  <c r="J215" i="5" s="1"/>
  <c r="G214" i="5"/>
  <c r="J214" i="5" s="1"/>
  <c r="G216" i="5"/>
  <c r="J216" i="5" s="1"/>
  <c r="G212" i="5"/>
  <c r="J212" i="5" s="1"/>
  <c r="G211" i="5"/>
  <c r="J211" i="5" s="1"/>
  <c r="G210" i="5"/>
  <c r="J210" i="5" s="1"/>
  <c r="G209" i="5"/>
  <c r="J209" i="5" s="1"/>
  <c r="G208" i="5"/>
  <c r="J208" i="5" s="1"/>
  <c r="G207" i="5"/>
  <c r="J207" i="5" s="1"/>
  <c r="G206" i="5"/>
  <c r="J206" i="5" s="1"/>
  <c r="G205" i="5"/>
  <c r="J205" i="5" s="1"/>
  <c r="G204" i="5"/>
  <c r="J204" i="5" s="1"/>
  <c r="G203" i="5"/>
  <c r="J203" i="5" s="1"/>
  <c r="G202" i="5"/>
  <c r="J202" i="5" s="1"/>
  <c r="G201" i="5"/>
  <c r="J201" i="5" s="1"/>
  <c r="G200" i="5"/>
  <c r="J200" i="5" s="1"/>
  <c r="G199" i="5"/>
  <c r="J199" i="5" s="1"/>
  <c r="G198" i="5"/>
  <c r="J198" i="5" s="1"/>
  <c r="G197" i="5"/>
  <c r="J197" i="5" s="1"/>
  <c r="G196" i="5"/>
  <c r="J196" i="5" s="1"/>
  <c r="G195" i="5"/>
  <c r="J195" i="5" s="1"/>
  <c r="G194" i="5"/>
  <c r="J194" i="5" s="1"/>
  <c r="G193" i="5"/>
  <c r="J193" i="5" s="1"/>
  <c r="G192" i="5"/>
  <c r="J192" i="5" s="1"/>
  <c r="G191" i="5"/>
  <c r="J191" i="5" s="1"/>
  <c r="G190" i="5"/>
  <c r="J190" i="5" s="1"/>
  <c r="G189" i="5"/>
  <c r="J189" i="5" s="1"/>
  <c r="G188" i="5"/>
  <c r="J188" i="5" s="1"/>
  <c r="G187" i="5"/>
  <c r="J187" i="5" s="1"/>
  <c r="G186" i="5"/>
  <c r="J186" i="5" s="1"/>
  <c r="G185" i="5"/>
  <c r="J185" i="5" s="1"/>
  <c r="G184" i="5"/>
  <c r="J184" i="5" s="1"/>
  <c r="G183" i="5"/>
  <c r="J183" i="5" s="1"/>
  <c r="G182" i="5"/>
  <c r="J182" i="5" s="1"/>
  <c r="G181" i="5"/>
  <c r="J181" i="5" s="1"/>
  <c r="G180" i="5"/>
  <c r="J180" i="5" s="1"/>
  <c r="G179" i="5"/>
  <c r="J179" i="5" s="1"/>
  <c r="G178" i="5"/>
  <c r="J178" i="5" s="1"/>
  <c r="G177" i="5"/>
  <c r="J177" i="5" s="1"/>
  <c r="G176" i="5"/>
  <c r="J176" i="5" s="1"/>
  <c r="G175" i="5"/>
  <c r="J175" i="5" s="1"/>
  <c r="G174" i="5"/>
  <c r="J174" i="5" s="1"/>
  <c r="G173" i="5"/>
  <c r="J173" i="5" s="1"/>
  <c r="G172" i="5"/>
  <c r="J172" i="5" s="1"/>
  <c r="G171" i="5"/>
  <c r="J171" i="5" s="1"/>
  <c r="G170" i="5"/>
  <c r="J170" i="5" s="1"/>
  <c r="G169" i="5"/>
  <c r="J169" i="5" s="1"/>
  <c r="G168" i="5"/>
  <c r="J168" i="5" s="1"/>
  <c r="G167" i="5"/>
  <c r="J167" i="5" s="1"/>
  <c r="G166" i="5"/>
  <c r="J166" i="5" s="1"/>
  <c r="G165" i="5"/>
  <c r="J165" i="5" s="1"/>
  <c r="G164" i="5"/>
  <c r="J164" i="5" s="1"/>
  <c r="G163" i="5"/>
  <c r="J163" i="5" s="1"/>
  <c r="G162" i="5"/>
  <c r="J162" i="5" s="1"/>
  <c r="G161" i="5"/>
  <c r="J161" i="5" s="1"/>
  <c r="G160" i="5"/>
  <c r="J160" i="5" s="1"/>
  <c r="G159" i="5"/>
  <c r="J159" i="5" s="1"/>
  <c r="G158" i="5"/>
  <c r="J158" i="5" s="1"/>
  <c r="G156" i="5"/>
  <c r="J156" i="5" s="1"/>
  <c r="G155" i="5"/>
  <c r="J155" i="5" s="1"/>
  <c r="G154" i="5"/>
  <c r="J154" i="5" s="1"/>
  <c r="G153" i="5"/>
  <c r="J153" i="5" s="1"/>
  <c r="G152" i="5"/>
  <c r="J152" i="5" s="1"/>
  <c r="G151" i="5"/>
  <c r="J151" i="5" s="1"/>
  <c r="G150" i="5"/>
  <c r="J150" i="5" s="1"/>
  <c r="G149" i="5"/>
  <c r="J149" i="5" s="1"/>
  <c r="G148" i="5"/>
  <c r="J148" i="5" s="1"/>
  <c r="G147" i="5"/>
  <c r="J147" i="5" s="1"/>
  <c r="G146" i="5"/>
  <c r="J146" i="5" s="1"/>
  <c r="G145" i="5"/>
  <c r="J145" i="5" s="1"/>
  <c r="G143" i="5"/>
  <c r="J143" i="5" s="1"/>
  <c r="G142" i="5"/>
  <c r="J142" i="5" s="1"/>
  <c r="G141" i="5"/>
  <c r="J141" i="5" s="1"/>
  <c r="G140" i="5"/>
  <c r="J140" i="5" s="1"/>
  <c r="G137" i="5"/>
  <c r="J137" i="5" s="1"/>
  <c r="G136" i="5"/>
  <c r="J136" i="5" s="1"/>
  <c r="G135" i="5"/>
  <c r="J135" i="5" s="1"/>
  <c r="G134" i="5"/>
  <c r="J134" i="5" s="1"/>
  <c r="G133" i="5"/>
  <c r="J133" i="5" s="1"/>
  <c r="G132" i="5"/>
  <c r="J132" i="5" s="1"/>
  <c r="G131" i="5"/>
  <c r="J131" i="5" s="1"/>
  <c r="G130" i="5"/>
  <c r="J130" i="5" s="1"/>
  <c r="G129" i="5"/>
  <c r="J129" i="5" s="1"/>
  <c r="G128" i="5"/>
  <c r="J128" i="5" s="1"/>
  <c r="G127" i="5"/>
  <c r="J127" i="5" s="1"/>
  <c r="G126" i="5"/>
  <c r="J126" i="5" s="1"/>
  <c r="G125" i="5"/>
  <c r="J125" i="5" s="1"/>
  <c r="G124" i="5"/>
  <c r="J124" i="5" s="1"/>
  <c r="G123" i="5"/>
  <c r="J123" i="5" s="1"/>
  <c r="G122" i="5"/>
  <c r="J122" i="5" s="1"/>
  <c r="G121" i="5"/>
  <c r="J121" i="5" s="1"/>
  <c r="G120" i="5"/>
  <c r="J120" i="5" s="1"/>
  <c r="G119" i="5"/>
  <c r="J119" i="5" s="1"/>
  <c r="G118" i="5"/>
  <c r="J118" i="5" s="1"/>
  <c r="G117" i="5"/>
  <c r="J117" i="5" s="1"/>
  <c r="G116" i="5"/>
  <c r="J116" i="5" s="1"/>
  <c r="G115" i="5"/>
  <c r="J115" i="5" s="1"/>
  <c r="G114" i="5"/>
  <c r="J114" i="5" s="1"/>
  <c r="G113" i="5"/>
  <c r="J113" i="5" s="1"/>
  <c r="G112" i="5"/>
  <c r="J112" i="5" s="1"/>
  <c r="G111" i="5"/>
  <c r="J111" i="5" s="1"/>
  <c r="G110" i="5"/>
  <c r="J110" i="5" s="1"/>
  <c r="G109" i="5"/>
  <c r="J109" i="5" s="1"/>
  <c r="G108" i="5"/>
  <c r="J108" i="5" s="1"/>
  <c r="G107" i="5"/>
  <c r="J107" i="5" s="1"/>
  <c r="G106" i="5"/>
  <c r="J106" i="5" s="1"/>
  <c r="G104" i="5"/>
  <c r="J104" i="5" s="1"/>
  <c r="G103" i="5"/>
  <c r="J103" i="5" s="1"/>
  <c r="G102" i="5"/>
  <c r="J102" i="5" s="1"/>
  <c r="G101" i="5"/>
  <c r="J101" i="5" s="1"/>
  <c r="G100" i="5"/>
  <c r="J100" i="5" s="1"/>
  <c r="G99" i="5"/>
  <c r="J99" i="5" s="1"/>
  <c r="G98" i="5"/>
  <c r="J98" i="5" s="1"/>
  <c r="G97" i="5"/>
  <c r="J97" i="5" s="1"/>
  <c r="G96" i="5"/>
  <c r="J96" i="5" s="1"/>
  <c r="G95" i="5"/>
  <c r="J95" i="5" s="1"/>
  <c r="G94" i="5"/>
  <c r="J94" i="5" s="1"/>
  <c r="G93" i="5"/>
  <c r="J93" i="5" s="1"/>
  <c r="G92" i="5"/>
  <c r="J92" i="5" s="1"/>
  <c r="G91" i="5"/>
  <c r="J91" i="5" s="1"/>
  <c r="G90" i="5"/>
  <c r="J90" i="5" s="1"/>
  <c r="G89" i="5"/>
  <c r="J89" i="5" s="1"/>
  <c r="G88" i="5"/>
  <c r="J88" i="5" s="1"/>
  <c r="G87" i="5"/>
  <c r="J87" i="5" s="1"/>
  <c r="G86" i="5"/>
  <c r="J86" i="5" s="1"/>
  <c r="G85" i="5"/>
  <c r="J85" i="5" s="1"/>
  <c r="G84" i="5"/>
  <c r="J84" i="5" s="1"/>
  <c r="G83" i="5"/>
  <c r="J83" i="5" s="1"/>
  <c r="G82" i="5"/>
  <c r="J82" i="5" s="1"/>
  <c r="G81" i="5"/>
  <c r="J81" i="5" s="1"/>
  <c r="G80" i="5"/>
  <c r="J80" i="5" s="1"/>
  <c r="G79" i="5"/>
  <c r="J79" i="5" s="1"/>
  <c r="G78" i="5"/>
  <c r="J78" i="5" s="1"/>
  <c r="G77" i="5"/>
  <c r="J77" i="5" s="1"/>
  <c r="G76" i="5"/>
  <c r="J76" i="5" s="1"/>
  <c r="G75" i="5"/>
  <c r="J75" i="5" s="1"/>
  <c r="G74" i="5"/>
  <c r="J74" i="5" s="1"/>
  <c r="G73" i="5"/>
  <c r="J73" i="5" s="1"/>
  <c r="G72" i="5"/>
  <c r="J72" i="5" s="1"/>
  <c r="G71" i="5"/>
  <c r="J71" i="5" s="1"/>
  <c r="G70" i="5"/>
  <c r="J70" i="5" s="1"/>
  <c r="G69" i="5"/>
  <c r="J69" i="5" s="1"/>
  <c r="G68" i="5"/>
  <c r="J68" i="5" s="1"/>
  <c r="G67" i="5"/>
  <c r="J67" i="5" s="1"/>
  <c r="G66" i="5"/>
  <c r="J66" i="5" s="1"/>
  <c r="G65" i="5"/>
  <c r="J65" i="5" s="1"/>
  <c r="G64" i="5"/>
  <c r="J64" i="5" s="1"/>
  <c r="G63" i="5"/>
  <c r="J63" i="5" s="1"/>
  <c r="G62" i="5"/>
  <c r="J62" i="5" s="1"/>
  <c r="G61" i="5"/>
  <c r="J61" i="5" s="1"/>
  <c r="G60" i="5"/>
  <c r="J60" i="5" s="1"/>
  <c r="G59" i="5"/>
  <c r="J59" i="5" s="1"/>
  <c r="G58" i="5"/>
  <c r="J58" i="5" s="1"/>
  <c r="G57" i="5"/>
  <c r="J57" i="5" s="1"/>
  <c r="G56" i="5"/>
  <c r="J56" i="5" s="1"/>
  <c r="G55" i="5"/>
  <c r="J55" i="5" s="1"/>
  <c r="G54" i="5"/>
  <c r="J54" i="5" s="1"/>
  <c r="G53" i="5"/>
  <c r="J53" i="5" s="1"/>
  <c r="G52" i="5"/>
  <c r="J52" i="5" s="1"/>
  <c r="G51" i="5"/>
  <c r="J51" i="5" s="1"/>
  <c r="G50" i="5"/>
  <c r="J50" i="5" s="1"/>
  <c r="G49" i="5"/>
  <c r="J49" i="5" s="1"/>
  <c r="G48" i="5"/>
  <c r="J48" i="5" s="1"/>
  <c r="G47" i="5"/>
  <c r="J47" i="5" s="1"/>
  <c r="G46" i="5"/>
  <c r="J46" i="5" s="1"/>
  <c r="G45" i="5"/>
  <c r="J45" i="5" s="1"/>
  <c r="G44" i="5"/>
  <c r="J44" i="5" s="1"/>
  <c r="G43" i="5"/>
  <c r="J43" i="5" s="1"/>
  <c r="G42" i="5"/>
  <c r="J42" i="5" s="1"/>
  <c r="G41" i="5"/>
  <c r="J41" i="5" s="1"/>
  <c r="G40" i="5"/>
  <c r="J40" i="5" s="1"/>
  <c r="G39" i="5"/>
  <c r="J39" i="5" s="1"/>
  <c r="G38" i="5"/>
  <c r="J38" i="5" s="1"/>
  <c r="G37" i="5"/>
  <c r="J37" i="5" s="1"/>
  <c r="G36" i="5"/>
  <c r="J36" i="5" s="1"/>
  <c r="G35" i="5"/>
  <c r="J35" i="5" s="1"/>
  <c r="G34" i="5"/>
  <c r="J34" i="5" s="1"/>
  <c r="G33" i="5"/>
  <c r="J33" i="5" s="1"/>
  <c r="G32" i="5"/>
  <c r="J32" i="5" s="1"/>
  <c r="G30" i="5"/>
  <c r="J30" i="5" s="1"/>
  <c r="G29" i="5"/>
  <c r="J29" i="5" s="1"/>
  <c r="G28" i="5"/>
  <c r="J28" i="5" s="1"/>
  <c r="G27" i="5"/>
  <c r="J27" i="5" s="1"/>
  <c r="G26" i="5"/>
  <c r="J26" i="5" s="1"/>
  <c r="G25" i="5"/>
  <c r="J25" i="5" s="1"/>
  <c r="G24" i="5"/>
  <c r="J24" i="5" s="1"/>
  <c r="G23" i="5"/>
  <c r="J23" i="5" s="1"/>
  <c r="G22" i="5"/>
  <c r="J22" i="5" s="1"/>
  <c r="G21" i="5"/>
  <c r="J21" i="5" s="1"/>
  <c r="G20" i="5"/>
  <c r="J20" i="5" s="1"/>
  <c r="G19" i="5"/>
  <c r="J19" i="5" s="1"/>
  <c r="G18" i="5"/>
  <c r="J18" i="5" s="1"/>
  <c r="G17" i="5"/>
  <c r="J17" i="5" s="1"/>
  <c r="G16" i="5"/>
  <c r="J16" i="5" s="1"/>
  <c r="G15" i="5"/>
  <c r="J15" i="5" s="1"/>
  <c r="G14" i="5"/>
  <c r="J14" i="5" s="1"/>
  <c r="G13" i="5"/>
  <c r="J13" i="5" s="1"/>
  <c r="G12" i="5"/>
  <c r="J12" i="5" s="1"/>
  <c r="G11" i="5"/>
  <c r="J11" i="5" s="1"/>
  <c r="G10" i="5"/>
  <c r="J10" i="5" s="1"/>
  <c r="G9" i="5"/>
  <c r="J9" i="5" s="1"/>
  <c r="G8" i="5"/>
  <c r="J8" i="5" s="1"/>
  <c r="G7" i="5"/>
  <c r="J7" i="5" s="1"/>
  <c r="G6" i="5"/>
  <c r="J6" i="5" s="1"/>
  <c r="L255" i="7" l="1"/>
  <c r="P255" i="7" s="1"/>
  <c r="AD168" i="3"/>
  <c r="J168" i="7" s="1"/>
  <c r="K168" i="7" s="1"/>
  <c r="AD167" i="3"/>
  <c r="J167" i="7" s="1"/>
  <c r="K167" i="7" s="1"/>
  <c r="AD183" i="3"/>
  <c r="J183" i="7" s="1"/>
  <c r="K183" i="7" s="1"/>
  <c r="L183" i="7" s="1"/>
  <c r="P183" i="7" s="1"/>
  <c r="AD184" i="3"/>
  <c r="J184" i="7" s="1"/>
  <c r="K184" i="7" s="1"/>
  <c r="L184" i="7" s="1"/>
  <c r="P184" i="7" s="1"/>
  <c r="AD172" i="3"/>
  <c r="J172" i="7" s="1"/>
  <c r="K172" i="7" s="1"/>
  <c r="L172" i="7" s="1"/>
  <c r="P172" i="7" s="1"/>
  <c r="AD188" i="3"/>
  <c r="J188" i="7" s="1"/>
  <c r="K188" i="7" s="1"/>
  <c r="L188" i="7" s="1"/>
  <c r="P188" i="7" s="1"/>
  <c r="AD204" i="3"/>
  <c r="J204" i="7" s="1"/>
  <c r="K204" i="7" s="1"/>
  <c r="L204" i="7" s="1"/>
  <c r="P204" i="7" s="1"/>
  <c r="AD220" i="3"/>
  <c r="J220" i="7" s="1"/>
  <c r="K220" i="7" s="1"/>
  <c r="L220" i="7" s="1"/>
  <c r="P220" i="7" s="1"/>
  <c r="AD236" i="3"/>
  <c r="J236" i="7" s="1"/>
  <c r="K236" i="7" s="1"/>
  <c r="L236" i="7" s="1"/>
  <c r="P236" i="7" s="1"/>
  <c r="AD252" i="3"/>
  <c r="J252" i="7" s="1"/>
  <c r="K252" i="7" s="1"/>
  <c r="L252" i="7" s="1"/>
  <c r="P252" i="7" s="1"/>
  <c r="AD251" i="3"/>
  <c r="J251" i="7" s="1"/>
  <c r="K251" i="7" s="1"/>
  <c r="L251" i="7" s="1"/>
  <c r="P251" i="7" s="1"/>
  <c r="AD258" i="3"/>
  <c r="J258" i="7" s="1"/>
  <c r="K258" i="7" s="1"/>
  <c r="L258" i="7" s="1"/>
  <c r="P258" i="7" s="1"/>
  <c r="L155" i="7"/>
  <c r="P155" i="7" s="1"/>
  <c r="AD151" i="3"/>
  <c r="J151" i="7" s="1"/>
  <c r="K151" i="7" s="1"/>
  <c r="L151" i="7" s="1"/>
  <c r="P151" i="7" s="1"/>
  <c r="AD163" i="3"/>
  <c r="J163" i="7" s="1"/>
  <c r="K163" i="7" s="1"/>
  <c r="L163" i="7" s="1"/>
  <c r="P163" i="7" s="1"/>
  <c r="AD179" i="3"/>
  <c r="J179" i="7" s="1"/>
  <c r="K179" i="7" s="1"/>
  <c r="L179" i="7" s="1"/>
  <c r="P179" i="7" s="1"/>
  <c r="AD195" i="3"/>
  <c r="J195" i="7" s="1"/>
  <c r="K195" i="7" s="1"/>
  <c r="L195" i="7" s="1"/>
  <c r="P195" i="7" s="1"/>
  <c r="AD200" i="3"/>
  <c r="J200" i="7" s="1"/>
  <c r="K200" i="7" s="1"/>
  <c r="L200" i="7" s="1"/>
  <c r="P200" i="7" s="1"/>
  <c r="AD213" i="3"/>
  <c r="J213" i="7" s="1"/>
  <c r="K213" i="7" s="1"/>
  <c r="L213" i="7" s="1"/>
  <c r="P213" i="7" s="1"/>
  <c r="AD259" i="3"/>
  <c r="J259" i="7" s="1"/>
  <c r="K259" i="7" s="1"/>
  <c r="L259" i="7" s="1"/>
  <c r="P259" i="7" s="1"/>
  <c r="AD150" i="3"/>
  <c r="J150" i="7" s="1"/>
  <c r="K150" i="7" s="1"/>
  <c r="L150" i="7" s="1"/>
  <c r="P150" i="7" s="1"/>
  <c r="AD162" i="3"/>
  <c r="J162" i="7" s="1"/>
  <c r="K162" i="7" s="1"/>
  <c r="L162" i="7" s="1"/>
  <c r="P162" i="7" s="1"/>
  <c r="AD178" i="3"/>
  <c r="J178" i="7" s="1"/>
  <c r="K178" i="7" s="1"/>
  <c r="L178" i="7" s="1"/>
  <c r="P178" i="7" s="1"/>
  <c r="AD194" i="3"/>
  <c r="J194" i="7" s="1"/>
  <c r="K194" i="7" s="1"/>
  <c r="L194" i="7" s="1"/>
  <c r="P194" i="7" s="1"/>
  <c r="AD199" i="3"/>
  <c r="J199" i="7" s="1"/>
  <c r="K199" i="7" s="1"/>
  <c r="L199" i="7" s="1"/>
  <c r="P199" i="7" s="1"/>
  <c r="AD215" i="3"/>
  <c r="J215" i="7" s="1"/>
  <c r="K215" i="7" s="1"/>
  <c r="L215" i="7" s="1"/>
  <c r="P215" i="7" s="1"/>
  <c r="AD231" i="3"/>
  <c r="J231" i="7" s="1"/>
  <c r="K231" i="7" s="1"/>
  <c r="L231" i="7" s="1"/>
  <c r="P231" i="7" s="1"/>
  <c r="AD148" i="3"/>
  <c r="J148" i="7" s="1"/>
  <c r="K148" i="7" s="1"/>
  <c r="L148" i="7" s="1"/>
  <c r="P148" i="7" s="1"/>
  <c r="AD160" i="3"/>
  <c r="J160" i="7" s="1"/>
  <c r="K160" i="7" s="1"/>
  <c r="L160" i="7" s="1"/>
  <c r="P160" i="7" s="1"/>
  <c r="AD176" i="3"/>
  <c r="J176" i="7" s="1"/>
  <c r="K176" i="7" s="1"/>
  <c r="L176" i="7" s="1"/>
  <c r="P176" i="7" s="1"/>
  <c r="AD192" i="3"/>
  <c r="J192" i="7" s="1"/>
  <c r="K192" i="7" s="1"/>
  <c r="L192" i="7" s="1"/>
  <c r="P192" i="7" s="1"/>
  <c r="AD216" i="3"/>
  <c r="J216" i="7" s="1"/>
  <c r="K216" i="7" s="1"/>
  <c r="L216" i="7" s="1"/>
  <c r="P216" i="7" s="1"/>
  <c r="AD229" i="3"/>
  <c r="J229" i="7" s="1"/>
  <c r="K229" i="7" s="1"/>
  <c r="L229" i="7" s="1"/>
  <c r="P229" i="7" s="1"/>
  <c r="AD245" i="3"/>
  <c r="J245" i="7" s="1"/>
  <c r="K245" i="7" s="1"/>
  <c r="L245" i="7" s="1"/>
  <c r="P245" i="7" s="1"/>
  <c r="AD250" i="3"/>
  <c r="J250" i="7" s="1"/>
  <c r="K250" i="7" s="1"/>
  <c r="L250" i="7" s="1"/>
  <c r="P250" i="7" s="1"/>
  <c r="AD171" i="3"/>
  <c r="J171" i="7" s="1"/>
  <c r="K171" i="7" s="1"/>
  <c r="L171" i="7" s="1"/>
  <c r="P171" i="7" s="1"/>
  <c r="AD187" i="3"/>
  <c r="J187" i="7" s="1"/>
  <c r="K187" i="7" s="1"/>
  <c r="L187" i="7" s="1"/>
  <c r="P187" i="7" s="1"/>
  <c r="AD208" i="3"/>
  <c r="J208" i="7" s="1"/>
  <c r="K208" i="7" s="1"/>
  <c r="L208" i="7" s="1"/>
  <c r="P208" i="7" s="1"/>
  <c r="AD224" i="3"/>
  <c r="J224" i="7" s="1"/>
  <c r="K224" i="7" s="1"/>
  <c r="L224" i="7" s="1"/>
  <c r="P224" i="7" s="1"/>
  <c r="AD240" i="3"/>
  <c r="J240" i="7" s="1"/>
  <c r="K240" i="7" s="1"/>
  <c r="L240" i="7" s="1"/>
  <c r="P240" i="7" s="1"/>
  <c r="AD261" i="3"/>
  <c r="J261" i="7" s="1"/>
  <c r="K261" i="7" s="1"/>
  <c r="L261" i="7" s="1"/>
  <c r="P261" i="7" s="1"/>
  <c r="AD154" i="3"/>
  <c r="J154" i="7" s="1"/>
  <c r="K154" i="7" s="1"/>
  <c r="L154" i="7" s="1"/>
  <c r="P154" i="7" s="1"/>
  <c r="AD166" i="3"/>
  <c r="J166" i="7" s="1"/>
  <c r="K166" i="7" s="1"/>
  <c r="L166" i="7" s="1"/>
  <c r="P166" i="7" s="1"/>
  <c r="AD182" i="3"/>
  <c r="J182" i="7" s="1"/>
  <c r="K182" i="7" s="1"/>
  <c r="L182" i="7" s="1"/>
  <c r="P182" i="7" s="1"/>
  <c r="AD203" i="3"/>
  <c r="J203" i="7" s="1"/>
  <c r="K203" i="7" s="1"/>
  <c r="L203" i="7" s="1"/>
  <c r="P203" i="7" s="1"/>
  <c r="AD219" i="3"/>
  <c r="J219" i="7" s="1"/>
  <c r="K219" i="7" s="1"/>
  <c r="L219" i="7" s="1"/>
  <c r="P219" i="7" s="1"/>
  <c r="AD235" i="3"/>
  <c r="J235" i="7" s="1"/>
  <c r="K235" i="7" s="1"/>
  <c r="L235" i="7" s="1"/>
  <c r="P235" i="7" s="1"/>
  <c r="AD256" i="3"/>
  <c r="J256" i="7" s="1"/>
  <c r="K256" i="7" s="1"/>
  <c r="L256" i="7" s="1"/>
  <c r="P256" i="7" s="1"/>
  <c r="AD145" i="3"/>
  <c r="J145" i="7" s="1"/>
  <c r="K145" i="7" s="1"/>
  <c r="L145" i="7" s="1"/>
  <c r="P145" i="7" s="1"/>
  <c r="AD156" i="3"/>
  <c r="J156" i="7" s="1"/>
  <c r="K156" i="7" s="1"/>
  <c r="L156" i="7" s="1"/>
  <c r="P156" i="7" s="1"/>
  <c r="AD173" i="3"/>
  <c r="J173" i="7" s="1"/>
  <c r="K173" i="7" s="1"/>
  <c r="L173" i="7" s="1"/>
  <c r="P173" i="7" s="1"/>
  <c r="AD189" i="3"/>
  <c r="J189" i="7" s="1"/>
  <c r="K189" i="7" s="1"/>
  <c r="L189" i="7" s="1"/>
  <c r="P189" i="7" s="1"/>
  <c r="AD210" i="3"/>
  <c r="J210" i="7" s="1"/>
  <c r="K210" i="7" s="1"/>
  <c r="L210" i="7" s="1"/>
  <c r="P210" i="7" s="1"/>
  <c r="AD226" i="3"/>
  <c r="J226" i="7" s="1"/>
  <c r="K226" i="7" s="1"/>
  <c r="L226" i="7" s="1"/>
  <c r="P226" i="7" s="1"/>
  <c r="AD242" i="3"/>
  <c r="J242" i="7" s="1"/>
  <c r="K242" i="7" s="1"/>
  <c r="L242" i="7" s="1"/>
  <c r="P242" i="7" s="1"/>
  <c r="AD247" i="3"/>
  <c r="J247" i="7" s="1"/>
  <c r="K247" i="7" s="1"/>
  <c r="L247" i="7" s="1"/>
  <c r="P247" i="7" s="1"/>
  <c r="AD232" i="3"/>
  <c r="J232" i="7" s="1"/>
  <c r="K232" i="7" s="1"/>
  <c r="L232" i="7" s="1"/>
  <c r="P232" i="7" s="1"/>
  <c r="AD146" i="3"/>
  <c r="J146" i="7" s="1"/>
  <c r="K146" i="7" s="1"/>
  <c r="L146" i="7" s="1"/>
  <c r="P146" i="7" s="1"/>
  <c r="AD158" i="3"/>
  <c r="J158" i="7" s="1"/>
  <c r="K158" i="7" s="1"/>
  <c r="L158" i="7" s="1"/>
  <c r="P158" i="7" s="1"/>
  <c r="AD174" i="3"/>
  <c r="J174" i="7" s="1"/>
  <c r="K174" i="7" s="1"/>
  <c r="L174" i="7" s="1"/>
  <c r="P174" i="7" s="1"/>
  <c r="AD190" i="3"/>
  <c r="J190" i="7" s="1"/>
  <c r="K190" i="7" s="1"/>
  <c r="L190" i="7" s="1"/>
  <c r="P190" i="7" s="1"/>
  <c r="AD211" i="3"/>
  <c r="J211" i="7" s="1"/>
  <c r="K211" i="7" s="1"/>
  <c r="L211" i="7" s="1"/>
  <c r="P211" i="7" s="1"/>
  <c r="AD227" i="3"/>
  <c r="J227" i="7" s="1"/>
  <c r="K227" i="7" s="1"/>
  <c r="L227" i="7" s="1"/>
  <c r="P227" i="7" s="1"/>
  <c r="AD243" i="3"/>
  <c r="J243" i="7" s="1"/>
  <c r="K243" i="7" s="1"/>
  <c r="L243" i="7" s="1"/>
  <c r="P243" i="7" s="1"/>
  <c r="AD147" i="3"/>
  <c r="J147" i="7" s="1"/>
  <c r="K147" i="7" s="1"/>
  <c r="L147" i="7" s="1"/>
  <c r="P147" i="7" s="1"/>
  <c r="AD159" i="3"/>
  <c r="J159" i="7" s="1"/>
  <c r="K159" i="7" s="1"/>
  <c r="L159" i="7" s="1"/>
  <c r="P159" i="7" s="1"/>
  <c r="AD175" i="3"/>
  <c r="J175" i="7" s="1"/>
  <c r="K175" i="7" s="1"/>
  <c r="L175" i="7" s="1"/>
  <c r="P175" i="7" s="1"/>
  <c r="AD191" i="3"/>
  <c r="J191" i="7" s="1"/>
  <c r="K191" i="7" s="1"/>
  <c r="L191" i="7" s="1"/>
  <c r="P191" i="7" s="1"/>
  <c r="AD212" i="3"/>
  <c r="J212" i="7" s="1"/>
  <c r="K212" i="7" s="1"/>
  <c r="L212" i="7" s="1"/>
  <c r="P212" i="7" s="1"/>
  <c r="AD228" i="3"/>
  <c r="J228" i="7" s="1"/>
  <c r="K228" i="7" s="1"/>
  <c r="L228" i="7" s="1"/>
  <c r="P228" i="7" s="1"/>
  <c r="AD244" i="3"/>
  <c r="J244" i="7" s="1"/>
  <c r="K244" i="7" s="1"/>
  <c r="L244" i="7" s="1"/>
  <c r="P244" i="7" s="1"/>
  <c r="L149" i="7"/>
  <c r="P149" i="7" s="1"/>
  <c r="L198" i="7"/>
  <c r="P198" i="7" s="1"/>
  <c r="L214" i="7"/>
  <c r="P214" i="7" s="1"/>
  <c r="L230" i="7"/>
  <c r="P230" i="7" s="1"/>
  <c r="L167" i="7"/>
  <c r="P167" i="7" s="1"/>
  <c r="L221" i="7"/>
  <c r="P221" i="7" s="1"/>
  <c r="L237" i="7"/>
  <c r="P237" i="7" s="1"/>
  <c r="L260" i="7"/>
  <c r="P260" i="7" s="1"/>
  <c r="L246" i="7"/>
  <c r="P246" i="7" s="1"/>
  <c r="L168" i="7"/>
  <c r="P168" i="7" s="1"/>
  <c r="L205" i="7"/>
  <c r="P205" i="7" s="1"/>
  <c r="AD169" i="3"/>
  <c r="J169" i="7" s="1"/>
  <c r="K169" i="7" s="1"/>
  <c r="L169" i="7" s="1"/>
  <c r="P169" i="7" s="1"/>
  <c r="AD185" i="3"/>
  <c r="J185" i="7" s="1"/>
  <c r="K185" i="7" s="1"/>
  <c r="L185" i="7" s="1"/>
  <c r="P185" i="7" s="1"/>
  <c r="AD206" i="3"/>
  <c r="J206" i="7" s="1"/>
  <c r="K206" i="7" s="1"/>
  <c r="L206" i="7" s="1"/>
  <c r="P206" i="7" s="1"/>
  <c r="AD222" i="3"/>
  <c r="J222" i="7" s="1"/>
  <c r="K222" i="7" s="1"/>
  <c r="L222" i="7" s="1"/>
  <c r="P222" i="7" s="1"/>
  <c r="AD238" i="3"/>
  <c r="J238" i="7" s="1"/>
  <c r="K238" i="7" s="1"/>
  <c r="L238" i="7" s="1"/>
  <c r="P238" i="7" s="1"/>
  <c r="AD253" i="3"/>
  <c r="J253" i="7" s="1"/>
  <c r="K253" i="7" s="1"/>
  <c r="L253" i="7" s="1"/>
  <c r="P253" i="7" s="1"/>
  <c r="AD152" i="3"/>
  <c r="J152" i="7" s="1"/>
  <c r="K152" i="7" s="1"/>
  <c r="L152" i="7" s="1"/>
  <c r="P152" i="7" s="1"/>
  <c r="AD164" i="3"/>
  <c r="J164" i="7" s="1"/>
  <c r="K164" i="7" s="1"/>
  <c r="L164" i="7" s="1"/>
  <c r="P164" i="7" s="1"/>
  <c r="AD180" i="3"/>
  <c r="J180" i="7" s="1"/>
  <c r="K180" i="7" s="1"/>
  <c r="L180" i="7" s="1"/>
  <c r="P180" i="7" s="1"/>
  <c r="AD196" i="3"/>
  <c r="J196" i="7" s="1"/>
  <c r="K196" i="7" s="1"/>
  <c r="L196" i="7" s="1"/>
  <c r="P196" i="7" s="1"/>
  <c r="AD201" i="3"/>
  <c r="J201" i="7" s="1"/>
  <c r="K201" i="7" s="1"/>
  <c r="L201" i="7" s="1"/>
  <c r="P201" i="7" s="1"/>
  <c r="AD217" i="3"/>
  <c r="J217" i="7" s="1"/>
  <c r="K217" i="7" s="1"/>
  <c r="L217" i="7" s="1"/>
  <c r="P217" i="7" s="1"/>
  <c r="AD233" i="3"/>
  <c r="J233" i="7" s="1"/>
  <c r="K233" i="7" s="1"/>
  <c r="L233" i="7" s="1"/>
  <c r="P233" i="7" s="1"/>
  <c r="AD248" i="3"/>
  <c r="J248" i="7" s="1"/>
  <c r="K248" i="7" s="1"/>
  <c r="L248" i="7" s="1"/>
  <c r="P248" i="7" s="1"/>
  <c r="AD170" i="3"/>
  <c r="J170" i="7" s="1"/>
  <c r="K170" i="7" s="1"/>
  <c r="L170" i="7" s="1"/>
  <c r="P170" i="7" s="1"/>
  <c r="AD186" i="3"/>
  <c r="J186" i="7" s="1"/>
  <c r="K186" i="7" s="1"/>
  <c r="L186" i="7" s="1"/>
  <c r="P186" i="7" s="1"/>
  <c r="AD207" i="3"/>
  <c r="J207" i="7" s="1"/>
  <c r="K207" i="7" s="1"/>
  <c r="L207" i="7" s="1"/>
  <c r="P207" i="7" s="1"/>
  <c r="AD223" i="3"/>
  <c r="J223" i="7" s="1"/>
  <c r="K223" i="7" s="1"/>
  <c r="L223" i="7" s="1"/>
  <c r="P223" i="7" s="1"/>
  <c r="AD239" i="3"/>
  <c r="J239" i="7" s="1"/>
  <c r="K239" i="7" s="1"/>
  <c r="L239" i="7" s="1"/>
  <c r="P239" i="7" s="1"/>
  <c r="AD254" i="3"/>
  <c r="J254" i="7" s="1"/>
  <c r="K254" i="7" s="1"/>
  <c r="L254" i="7" s="1"/>
  <c r="P254" i="7" s="1"/>
  <c r="AD153" i="3"/>
  <c r="J153" i="7" s="1"/>
  <c r="K153" i="7" s="1"/>
  <c r="L153" i="7" s="1"/>
  <c r="P153" i="7" s="1"/>
  <c r="AD165" i="3"/>
  <c r="J165" i="7" s="1"/>
  <c r="K165" i="7" s="1"/>
  <c r="L165" i="7" s="1"/>
  <c r="P165" i="7" s="1"/>
  <c r="AD181" i="3"/>
  <c r="J181" i="7" s="1"/>
  <c r="K181" i="7" s="1"/>
  <c r="L181" i="7" s="1"/>
  <c r="P181" i="7" s="1"/>
  <c r="AD197" i="3"/>
  <c r="J197" i="7" s="1"/>
  <c r="K197" i="7" s="1"/>
  <c r="L197" i="7" s="1"/>
  <c r="P197" i="7" s="1"/>
  <c r="AD202" i="3"/>
  <c r="J202" i="7" s="1"/>
  <c r="K202" i="7" s="1"/>
  <c r="L202" i="7" s="1"/>
  <c r="P202" i="7" s="1"/>
  <c r="AD218" i="3"/>
  <c r="J218" i="7" s="1"/>
  <c r="K218" i="7" s="1"/>
  <c r="L218" i="7" s="1"/>
  <c r="P218" i="7" s="1"/>
  <c r="AD234" i="3"/>
  <c r="J234" i="7" s="1"/>
  <c r="K234" i="7" s="1"/>
  <c r="L234" i="7" s="1"/>
  <c r="P234" i="7" s="1"/>
  <c r="AD249" i="3"/>
  <c r="J249" i="7" s="1"/>
  <c r="K249" i="7" s="1"/>
  <c r="L249" i="7" s="1"/>
  <c r="P249" i="7" s="1"/>
  <c r="Z30" i="3"/>
  <c r="R30" i="3"/>
  <c r="G264" i="7"/>
  <c r="I262" i="7"/>
  <c r="R52" i="3"/>
  <c r="R207" i="3"/>
  <c r="R48" i="3"/>
  <c r="R179" i="3"/>
  <c r="R104" i="3"/>
  <c r="AB27" i="3"/>
  <c r="AD27" i="3" s="1"/>
  <c r="J27" i="7" s="1"/>
  <c r="K27" i="7" s="1"/>
  <c r="L27" i="7" s="1"/>
  <c r="P27" i="7" s="1"/>
  <c r="AB36" i="3"/>
  <c r="R206" i="3"/>
  <c r="R223" i="3"/>
  <c r="R222" i="3"/>
  <c r="R26" i="3"/>
  <c r="R56" i="3"/>
  <c r="AA45" i="3"/>
  <c r="AD104" i="3"/>
  <c r="J104" i="7" s="1"/>
  <c r="K104" i="7" s="1"/>
  <c r="L104" i="7" s="1"/>
  <c r="P104" i="7" s="1"/>
  <c r="AA117" i="3"/>
  <c r="R20" i="3"/>
  <c r="AA22" i="3"/>
  <c r="AD22" i="3" s="1"/>
  <c r="J22" i="7" s="1"/>
  <c r="K22" i="7" s="1"/>
  <c r="L22" i="7" s="1"/>
  <c r="P22" i="7" s="1"/>
  <c r="R33" i="3"/>
  <c r="R54" i="3"/>
  <c r="R45" i="3"/>
  <c r="R128" i="3"/>
  <c r="R132" i="3"/>
  <c r="Z97" i="3"/>
  <c r="R46" i="3"/>
  <c r="R47" i="3"/>
  <c r="R37" i="3"/>
  <c r="Z5" i="3"/>
  <c r="Z9" i="3"/>
  <c r="AA12" i="3"/>
  <c r="Z20" i="3"/>
  <c r="Z29" i="3"/>
  <c r="Z44" i="3"/>
  <c r="Z50" i="3"/>
  <c r="AB51" i="3"/>
  <c r="Z60" i="3"/>
  <c r="AD60" i="3" s="1"/>
  <c r="J60" i="7" s="1"/>
  <c r="K60" i="7" s="1"/>
  <c r="L60" i="7" s="1"/>
  <c r="P60" i="7" s="1"/>
  <c r="AA87" i="3"/>
  <c r="Z116" i="3"/>
  <c r="AA23" i="3"/>
  <c r="AD23" i="3" s="1"/>
  <c r="J23" i="7" s="1"/>
  <c r="K23" i="7" s="1"/>
  <c r="L23" i="7" s="1"/>
  <c r="P23" i="7" s="1"/>
  <c r="AA29" i="3"/>
  <c r="Z46" i="3"/>
  <c r="Z51" i="3"/>
  <c r="Z66" i="3"/>
  <c r="AA111" i="3"/>
  <c r="AD111" i="3" s="1"/>
  <c r="J111" i="7" s="1"/>
  <c r="K111" i="7" s="1"/>
  <c r="L111" i="7" s="1"/>
  <c r="P111" i="7" s="1"/>
  <c r="R200" i="3"/>
  <c r="Z12" i="3"/>
  <c r="AA28" i="3"/>
  <c r="R39" i="3"/>
  <c r="AA54" i="3"/>
  <c r="Z74" i="3"/>
  <c r="Z77" i="3"/>
  <c r="AA106" i="3"/>
  <c r="AB126" i="3"/>
  <c r="AA141" i="3"/>
  <c r="F262" i="2"/>
  <c r="F264" i="2" s="1"/>
  <c r="Z33" i="3"/>
  <c r="AD33" i="3" s="1"/>
  <c r="J33" i="7" s="1"/>
  <c r="K33" i="7" s="1"/>
  <c r="L33" i="7" s="1"/>
  <c r="P33" i="7" s="1"/>
  <c r="AD53" i="3"/>
  <c r="J53" i="7" s="1"/>
  <c r="K53" i="7" s="1"/>
  <c r="L53" i="7" s="1"/>
  <c r="P53" i="7" s="1"/>
  <c r="AB54" i="3"/>
  <c r="Z65" i="3"/>
  <c r="AA77" i="3"/>
  <c r="Z82" i="3"/>
  <c r="AA6" i="3"/>
  <c r="Z7" i="3"/>
  <c r="AA10" i="3"/>
  <c r="Z11" i="3"/>
  <c r="AA14" i="3"/>
  <c r="Z15" i="3"/>
  <c r="Z18" i="3"/>
  <c r="AD18" i="3" s="1"/>
  <c r="J18" i="7" s="1"/>
  <c r="K18" i="7" s="1"/>
  <c r="L18" i="7" s="1"/>
  <c r="P18" i="7" s="1"/>
  <c r="AB20" i="3"/>
  <c r="Z21" i="3"/>
  <c r="AA24" i="3"/>
  <c r="AA30" i="3"/>
  <c r="Z41" i="3"/>
  <c r="AD41" i="3" s="1"/>
  <c r="J41" i="7" s="1"/>
  <c r="K41" i="7" s="1"/>
  <c r="L41" i="7" s="1"/>
  <c r="P41" i="7" s="1"/>
  <c r="AB42" i="3"/>
  <c r="AD42" i="3" s="1"/>
  <c r="J42" i="7" s="1"/>
  <c r="K42" i="7" s="1"/>
  <c r="L42" i="7" s="1"/>
  <c r="P42" i="7" s="1"/>
  <c r="AA48" i="3"/>
  <c r="R49" i="3"/>
  <c r="AA50" i="3"/>
  <c r="Z57" i="3"/>
  <c r="Z63" i="3"/>
  <c r="AA68" i="3"/>
  <c r="AA72" i="3"/>
  <c r="Z73" i="3"/>
  <c r="Z76" i="3"/>
  <c r="Z80" i="3"/>
  <c r="AA85" i="3"/>
  <c r="AA89" i="3"/>
  <c r="Z90" i="3"/>
  <c r="Z93" i="3"/>
  <c r="AB103" i="3"/>
  <c r="Z107" i="3"/>
  <c r="AB108" i="3"/>
  <c r="AB113" i="3"/>
  <c r="AB125" i="3"/>
  <c r="AB129" i="3"/>
  <c r="AB133" i="3"/>
  <c r="AB137" i="3"/>
  <c r="Z26" i="3"/>
  <c r="AD26" i="3" s="1"/>
  <c r="J26" i="7" s="1"/>
  <c r="K26" i="7" s="1"/>
  <c r="L26" i="7" s="1"/>
  <c r="P26" i="7" s="1"/>
  <c r="R29" i="3"/>
  <c r="Z45" i="3"/>
  <c r="Z54" i="3"/>
  <c r="AB58" i="3"/>
  <c r="Z81" i="3"/>
  <c r="Z98" i="3"/>
  <c r="Z103" i="3"/>
  <c r="AA109" i="3"/>
  <c r="AD109" i="3" s="1"/>
  <c r="J109" i="7" s="1"/>
  <c r="K109" i="7" s="1"/>
  <c r="L109" i="7" s="1"/>
  <c r="P109" i="7" s="1"/>
  <c r="R182" i="3"/>
  <c r="Z6" i="3"/>
  <c r="Z10" i="3"/>
  <c r="Z14" i="3"/>
  <c r="AA20" i="3"/>
  <c r="AB21" i="3"/>
  <c r="AA37" i="3"/>
  <c r="Z48" i="3"/>
  <c r="AB57" i="3"/>
  <c r="AA75" i="3"/>
  <c r="Z89" i="3"/>
  <c r="AA113" i="3"/>
  <c r="R205" i="3"/>
  <c r="R24" i="3"/>
  <c r="AB24" i="3"/>
  <c r="AA47" i="3"/>
  <c r="R36" i="3"/>
  <c r="Z36" i="3"/>
  <c r="Z40" i="3"/>
  <c r="R58" i="3"/>
  <c r="AA58" i="3"/>
  <c r="AB29" i="3"/>
  <c r="Z55" i="3"/>
  <c r="AD55" i="3" s="1"/>
  <c r="J55" i="7" s="1"/>
  <c r="K55" i="7" s="1"/>
  <c r="L55" i="7" s="1"/>
  <c r="P55" i="7" s="1"/>
  <c r="Z110" i="3"/>
  <c r="AA39" i="3"/>
  <c r="AD39" i="3" s="1"/>
  <c r="J39" i="7" s="1"/>
  <c r="K39" i="7" s="1"/>
  <c r="L39" i="7" s="1"/>
  <c r="P39" i="7" s="1"/>
  <c r="AA61" i="3"/>
  <c r="AD61" i="3" s="1"/>
  <c r="J61" i="7" s="1"/>
  <c r="K61" i="7" s="1"/>
  <c r="L61" i="7" s="1"/>
  <c r="P61" i="7" s="1"/>
  <c r="R61" i="3"/>
  <c r="Z32" i="3"/>
  <c r="R125" i="3"/>
  <c r="R129" i="3"/>
  <c r="R137" i="3"/>
  <c r="R6" i="3"/>
  <c r="R7" i="3"/>
  <c r="R8" i="3"/>
  <c r="R9" i="3"/>
  <c r="R10" i="3"/>
  <c r="R11" i="3"/>
  <c r="R12" i="3"/>
  <c r="R13" i="3"/>
  <c r="R14" i="3"/>
  <c r="R15" i="3"/>
  <c r="R23" i="3"/>
  <c r="R32" i="3"/>
  <c r="R40" i="3"/>
  <c r="R50" i="3"/>
  <c r="R53" i="3"/>
  <c r="R101" i="3"/>
  <c r="R170" i="3"/>
  <c r="R215" i="3"/>
  <c r="R17" i="3"/>
  <c r="R34" i="3"/>
  <c r="R42" i="3"/>
  <c r="R57" i="3"/>
  <c r="R59" i="3"/>
  <c r="R60" i="3"/>
  <c r="AA110" i="3"/>
  <c r="R114" i="3"/>
  <c r="Z114" i="3"/>
  <c r="AA120" i="3"/>
  <c r="AD120" i="3" s="1"/>
  <c r="J120" i="7" s="1"/>
  <c r="K120" i="7" s="1"/>
  <c r="L120" i="7" s="1"/>
  <c r="P120" i="7" s="1"/>
  <c r="R120" i="3"/>
  <c r="R18" i="3"/>
  <c r="AB37" i="3"/>
  <c r="R43" i="3"/>
  <c r="AA46" i="3"/>
  <c r="AA102" i="3"/>
  <c r="AD102" i="3" s="1"/>
  <c r="AA116" i="3"/>
  <c r="R19" i="3"/>
  <c r="R27" i="3"/>
  <c r="R44" i="3"/>
  <c r="AB45" i="3"/>
  <c r="R98" i="3"/>
  <c r="AB100" i="3"/>
  <c r="AD100" i="3" s="1"/>
  <c r="J100" i="7" s="1"/>
  <c r="K100" i="7" s="1"/>
  <c r="L100" i="7" s="1"/>
  <c r="P100" i="7" s="1"/>
  <c r="AA101" i="3"/>
  <c r="AB107" i="3"/>
  <c r="AB114" i="3"/>
  <c r="Z118" i="3"/>
  <c r="AB5" i="3"/>
  <c r="AB6" i="3"/>
  <c r="AB7" i="3"/>
  <c r="AB8" i="3"/>
  <c r="AD8" i="3" s="1"/>
  <c r="AB9" i="3"/>
  <c r="AB10" i="3"/>
  <c r="AB11" i="3"/>
  <c r="AB12" i="3"/>
  <c r="AB13" i="3"/>
  <c r="AD13" i="3" s="1"/>
  <c r="J13" i="7" s="1"/>
  <c r="K13" i="7" s="1"/>
  <c r="L13" i="7" s="1"/>
  <c r="P13" i="7" s="1"/>
  <c r="AB14" i="3"/>
  <c r="AB28" i="3"/>
  <c r="AB30" i="3"/>
  <c r="AB46" i="3"/>
  <c r="Z52" i="3"/>
  <c r="AA108" i="3"/>
  <c r="R122" i="3"/>
  <c r="R126" i="3"/>
  <c r="R134" i="3"/>
  <c r="R191" i="3"/>
  <c r="R208" i="3"/>
  <c r="AB15" i="3"/>
  <c r="R21" i="3"/>
  <c r="R38" i="3"/>
  <c r="AB40" i="3"/>
  <c r="AB47" i="3"/>
  <c r="R51" i="3"/>
  <c r="R55" i="3"/>
  <c r="AB98" i="3"/>
  <c r="Z101" i="3"/>
  <c r="AB106" i="3"/>
  <c r="AB112" i="3"/>
  <c r="AA114" i="3"/>
  <c r="R117" i="3"/>
  <c r="Z117" i="3"/>
  <c r="R227" i="3"/>
  <c r="AB49" i="3"/>
  <c r="AD49" i="3" s="1"/>
  <c r="J49" i="7" s="1"/>
  <c r="K49" i="7" s="1"/>
  <c r="L49" i="7" s="1"/>
  <c r="P49" i="7" s="1"/>
  <c r="AB56" i="3"/>
  <c r="AD56" i="3" s="1"/>
  <c r="J56" i="7" s="1"/>
  <c r="K56" i="7" s="1"/>
  <c r="L56" i="7" s="1"/>
  <c r="P56" i="7" s="1"/>
  <c r="AA98" i="3"/>
  <c r="AA107" i="3"/>
  <c r="R111" i="3"/>
  <c r="AA115" i="3"/>
  <c r="AD115" i="3" s="1"/>
  <c r="J115" i="7" s="1"/>
  <c r="K115" i="7" s="1"/>
  <c r="L115" i="7" s="1"/>
  <c r="P115" i="7" s="1"/>
  <c r="R219" i="3"/>
  <c r="W262" i="3"/>
  <c r="AA143" i="3"/>
  <c r="R173" i="3"/>
  <c r="R188" i="3"/>
  <c r="R199" i="3"/>
  <c r="AB52" i="3"/>
  <c r="AB59" i="3"/>
  <c r="AD59" i="3" s="1"/>
  <c r="J59" i="7" s="1"/>
  <c r="K59" i="7" s="1"/>
  <c r="L59" i="7" s="1"/>
  <c r="P59" i="7" s="1"/>
  <c r="AB101" i="3"/>
  <c r="AA103" i="3"/>
  <c r="R108" i="3"/>
  <c r="AB110" i="3"/>
  <c r="AA112" i="3"/>
  <c r="R118" i="3"/>
  <c r="AB119" i="3"/>
  <c r="R123" i="3"/>
  <c r="AB124" i="3"/>
  <c r="AB128" i="3"/>
  <c r="R131" i="3"/>
  <c r="AB132" i="3"/>
  <c r="R135" i="3"/>
  <c r="AB136" i="3"/>
  <c r="Z143" i="3"/>
  <c r="R197" i="3"/>
  <c r="R201" i="3"/>
  <c r="R25" i="3"/>
  <c r="AD17" i="3"/>
  <c r="J17" i="7" s="1"/>
  <c r="K17" i="7" s="1"/>
  <c r="L17" i="7" s="1"/>
  <c r="P17" i="7" s="1"/>
  <c r="AB19" i="3"/>
  <c r="AD19" i="3" s="1"/>
  <c r="J19" i="7" s="1"/>
  <c r="K19" i="7" s="1"/>
  <c r="L19" i="7" s="1"/>
  <c r="P19" i="7" s="1"/>
  <c r="AB32" i="3"/>
  <c r="AB38" i="3"/>
  <c r="AD38" i="3" s="1"/>
  <c r="J38" i="7" s="1"/>
  <c r="K38" i="7" s="1"/>
  <c r="L38" i="7" s="1"/>
  <c r="P38" i="7" s="1"/>
  <c r="AB44" i="3"/>
  <c r="R103" i="3"/>
  <c r="R110" i="3"/>
  <c r="R116" i="3"/>
  <c r="Z125" i="3"/>
  <c r="AD16" i="3"/>
  <c r="J16" i="7" s="1"/>
  <c r="K16" i="7" s="1"/>
  <c r="L16" i="7" s="1"/>
  <c r="P16" i="7" s="1"/>
  <c r="AD35" i="3"/>
  <c r="J35" i="7" s="1"/>
  <c r="K35" i="7" s="1"/>
  <c r="L35" i="7" s="1"/>
  <c r="P35" i="7" s="1"/>
  <c r="AB64" i="3"/>
  <c r="AD64" i="3" s="1"/>
  <c r="J64" i="7" s="1"/>
  <c r="K64" i="7" s="1"/>
  <c r="L64" i="7" s="1"/>
  <c r="P64" i="7" s="1"/>
  <c r="R64" i="3"/>
  <c r="AB67" i="3"/>
  <c r="AD67" i="3" s="1"/>
  <c r="J67" i="7" s="1"/>
  <c r="K67" i="7" s="1"/>
  <c r="L67" i="7" s="1"/>
  <c r="P67" i="7" s="1"/>
  <c r="R67" i="3"/>
  <c r="AB70" i="3"/>
  <c r="AD70" i="3" s="1"/>
  <c r="J70" i="7" s="1"/>
  <c r="K70" i="7" s="1"/>
  <c r="L70" i="7" s="1"/>
  <c r="P70" i="7" s="1"/>
  <c r="R70" i="3"/>
  <c r="AB73" i="3"/>
  <c r="R73" i="3"/>
  <c r="AB76" i="3"/>
  <c r="R76" i="3"/>
  <c r="AB79" i="3"/>
  <c r="AD79" i="3" s="1"/>
  <c r="J79" i="7" s="1"/>
  <c r="K79" i="7" s="1"/>
  <c r="L79" i="7" s="1"/>
  <c r="P79" i="7" s="1"/>
  <c r="R79" i="3"/>
  <c r="AB82" i="3"/>
  <c r="R82" i="3"/>
  <c r="AB85" i="3"/>
  <c r="R85" i="3"/>
  <c r="AB88" i="3"/>
  <c r="AD88" i="3" s="1"/>
  <c r="J88" i="7" s="1"/>
  <c r="K88" i="7" s="1"/>
  <c r="L88" i="7" s="1"/>
  <c r="P88" i="7" s="1"/>
  <c r="R88" i="3"/>
  <c r="AB91" i="3"/>
  <c r="AD91" i="3" s="1"/>
  <c r="J91" i="7" s="1"/>
  <c r="K91" i="7" s="1"/>
  <c r="L91" i="7" s="1"/>
  <c r="P91" i="7" s="1"/>
  <c r="R91" i="3"/>
  <c r="AB94" i="3"/>
  <c r="AD94" i="3" s="1"/>
  <c r="J94" i="7" s="1"/>
  <c r="K94" i="7" s="1"/>
  <c r="L94" i="7" s="1"/>
  <c r="P94" i="7" s="1"/>
  <c r="R94" i="3"/>
  <c r="AB97" i="3"/>
  <c r="R97" i="3"/>
  <c r="R119" i="3"/>
  <c r="AA119" i="3"/>
  <c r="Z128" i="3"/>
  <c r="R16" i="3"/>
  <c r="R22" i="3"/>
  <c r="R28" i="3"/>
  <c r="AD34" i="3"/>
  <c r="J34" i="7" s="1"/>
  <c r="K34" i="7" s="1"/>
  <c r="L34" i="7" s="1"/>
  <c r="P34" i="7" s="1"/>
  <c r="R35" i="3"/>
  <c r="R41" i="3"/>
  <c r="R99" i="3"/>
  <c r="AD99" i="3"/>
  <c r="J99" i="7" s="1"/>
  <c r="K99" i="7" s="1"/>
  <c r="L99" i="7" s="1"/>
  <c r="P99" i="7" s="1"/>
  <c r="R106" i="3"/>
  <c r="R112" i="3"/>
  <c r="Z131" i="3"/>
  <c r="AB62" i="3"/>
  <c r="AD62" i="3" s="1"/>
  <c r="J62" i="7" s="1"/>
  <c r="K62" i="7" s="1"/>
  <c r="L62" i="7" s="1"/>
  <c r="P62" i="7" s="1"/>
  <c r="R62" i="3"/>
  <c r="AB65" i="3"/>
  <c r="R65" i="3"/>
  <c r="AB68" i="3"/>
  <c r="R68" i="3"/>
  <c r="AB71" i="3"/>
  <c r="AD71" i="3" s="1"/>
  <c r="J71" i="7" s="1"/>
  <c r="K71" i="7" s="1"/>
  <c r="L71" i="7" s="1"/>
  <c r="P71" i="7" s="1"/>
  <c r="R71" i="3"/>
  <c r="AB74" i="3"/>
  <c r="R74" i="3"/>
  <c r="AB77" i="3"/>
  <c r="R77" i="3"/>
  <c r="AB80" i="3"/>
  <c r="R80" i="3"/>
  <c r="AB83" i="3"/>
  <c r="AD83" i="3" s="1"/>
  <c r="J83" i="7" s="1"/>
  <c r="K83" i="7" s="1"/>
  <c r="L83" i="7" s="1"/>
  <c r="P83" i="7" s="1"/>
  <c r="R83" i="3"/>
  <c r="AB86" i="3"/>
  <c r="AD86" i="3" s="1"/>
  <c r="J86" i="7" s="1"/>
  <c r="K86" i="7" s="1"/>
  <c r="L86" i="7" s="1"/>
  <c r="P86" i="7" s="1"/>
  <c r="R86" i="3"/>
  <c r="AB89" i="3"/>
  <c r="R89" i="3"/>
  <c r="AB92" i="3"/>
  <c r="AD92" i="3" s="1"/>
  <c r="J92" i="7" s="1"/>
  <c r="K92" i="7" s="1"/>
  <c r="L92" i="7" s="1"/>
  <c r="P92" i="7" s="1"/>
  <c r="R92" i="3"/>
  <c r="AB95" i="3"/>
  <c r="AD95" i="3" s="1"/>
  <c r="J95" i="7" s="1"/>
  <c r="K95" i="7" s="1"/>
  <c r="L95" i="7" s="1"/>
  <c r="P95" i="7" s="1"/>
  <c r="R95" i="3"/>
  <c r="R100" i="3"/>
  <c r="R107" i="3"/>
  <c r="R113" i="3"/>
  <c r="Z134" i="3"/>
  <c r="AD25" i="3"/>
  <c r="J25" i="7" s="1"/>
  <c r="K25" i="7" s="1"/>
  <c r="L25" i="7" s="1"/>
  <c r="P25" i="7" s="1"/>
  <c r="AD43" i="3"/>
  <c r="J43" i="7" s="1"/>
  <c r="K43" i="7" s="1"/>
  <c r="L43" i="7" s="1"/>
  <c r="P43" i="7" s="1"/>
  <c r="AB63" i="3"/>
  <c r="R63" i="3"/>
  <c r="AB66" i="3"/>
  <c r="R66" i="3"/>
  <c r="AB69" i="3"/>
  <c r="AD69" i="3" s="1"/>
  <c r="J69" i="7" s="1"/>
  <c r="K69" i="7" s="1"/>
  <c r="L69" i="7" s="1"/>
  <c r="P69" i="7" s="1"/>
  <c r="R69" i="3"/>
  <c r="AB72" i="3"/>
  <c r="R72" i="3"/>
  <c r="AB75" i="3"/>
  <c r="R75" i="3"/>
  <c r="AB78" i="3"/>
  <c r="AD78" i="3" s="1"/>
  <c r="J78" i="7" s="1"/>
  <c r="K78" i="7" s="1"/>
  <c r="L78" i="7" s="1"/>
  <c r="P78" i="7" s="1"/>
  <c r="R78" i="3"/>
  <c r="AB81" i="3"/>
  <c r="R81" i="3"/>
  <c r="AB84" i="3"/>
  <c r="AD84" i="3" s="1"/>
  <c r="J84" i="7" s="1"/>
  <c r="K84" i="7" s="1"/>
  <c r="L84" i="7" s="1"/>
  <c r="P84" i="7" s="1"/>
  <c r="R84" i="3"/>
  <c r="AB87" i="3"/>
  <c r="R87" i="3"/>
  <c r="AB90" i="3"/>
  <c r="R90" i="3"/>
  <c r="AB93" i="3"/>
  <c r="R93" i="3"/>
  <c r="AB96" i="3"/>
  <c r="AD96" i="3" s="1"/>
  <c r="J96" i="7" s="1"/>
  <c r="K96" i="7" s="1"/>
  <c r="L96" i="7" s="1"/>
  <c r="P96" i="7" s="1"/>
  <c r="R96" i="3"/>
  <c r="R102" i="3"/>
  <c r="R109" i="3"/>
  <c r="R115" i="3"/>
  <c r="Z122" i="3"/>
  <c r="AA122" i="3"/>
  <c r="AA125" i="3"/>
  <c r="AA128" i="3"/>
  <c r="AA131" i="3"/>
  <c r="AA134" i="3"/>
  <c r="AA137" i="3"/>
  <c r="R151" i="3"/>
  <c r="R164" i="3"/>
  <c r="R216" i="3"/>
  <c r="AA121" i="3"/>
  <c r="Z123" i="3"/>
  <c r="Z126" i="3"/>
  <c r="Z129" i="3"/>
  <c r="Z132" i="3"/>
  <c r="Z135" i="3"/>
  <c r="G262" i="3"/>
  <c r="R140" i="3"/>
  <c r="Z140" i="3"/>
  <c r="R148" i="3"/>
  <c r="R155" i="3"/>
  <c r="R162" i="3"/>
  <c r="R211" i="3"/>
  <c r="AB118" i="3"/>
  <c r="AA118" i="3"/>
  <c r="AB121" i="3"/>
  <c r="AA123" i="3"/>
  <c r="AA126" i="3"/>
  <c r="AA129" i="3"/>
  <c r="AA132" i="3"/>
  <c r="AA135" i="3"/>
  <c r="R145" i="3"/>
  <c r="R152" i="3"/>
  <c r="R160" i="3"/>
  <c r="R121" i="3"/>
  <c r="R124" i="3"/>
  <c r="Z124" i="3"/>
  <c r="R127" i="3"/>
  <c r="Z127" i="3"/>
  <c r="R130" i="3"/>
  <c r="Z130" i="3"/>
  <c r="R133" i="3"/>
  <c r="Z133" i="3"/>
  <c r="R136" i="3"/>
  <c r="Z136" i="3"/>
  <c r="Q262" i="3"/>
  <c r="AB140" i="3"/>
  <c r="R141" i="3"/>
  <c r="Z141" i="3"/>
  <c r="R149" i="3"/>
  <c r="AA124" i="3"/>
  <c r="AA127" i="3"/>
  <c r="AA130" i="3"/>
  <c r="AA133" i="3"/>
  <c r="AA136" i="3"/>
  <c r="V262" i="3"/>
  <c r="R146" i="3"/>
  <c r="R158" i="3"/>
  <c r="R168" i="3"/>
  <c r="R202" i="3"/>
  <c r="Z137" i="3"/>
  <c r="R142" i="3"/>
  <c r="Z142" i="3"/>
  <c r="R154" i="3"/>
  <c r="R166" i="3"/>
  <c r="R143" i="3"/>
  <c r="R147" i="3"/>
  <c r="R150" i="3"/>
  <c r="R153" i="3"/>
  <c r="R185" i="3"/>
  <c r="R198" i="3"/>
  <c r="R209" i="3"/>
  <c r="R210" i="3"/>
  <c r="L262" i="3"/>
  <c r="X262" i="3"/>
  <c r="AA142" i="3"/>
  <c r="R176" i="3"/>
  <c r="R194" i="3"/>
  <c r="R203" i="3"/>
  <c r="R204" i="3"/>
  <c r="AA140" i="3"/>
  <c r="R156" i="3"/>
  <c r="R159" i="3"/>
  <c r="R161" i="3"/>
  <c r="R163" i="3"/>
  <c r="R165" i="3"/>
  <c r="R167" i="3"/>
  <c r="R169" i="3"/>
  <c r="R172" i="3"/>
  <c r="R175" i="3"/>
  <c r="R178" i="3"/>
  <c r="R181" i="3"/>
  <c r="R184" i="3"/>
  <c r="R187" i="3"/>
  <c r="R190" i="3"/>
  <c r="R193" i="3"/>
  <c r="R196" i="3"/>
  <c r="R212" i="3"/>
  <c r="R226" i="3"/>
  <c r="R217" i="3"/>
  <c r="R220" i="3"/>
  <c r="R221" i="3"/>
  <c r="R225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171" i="3"/>
  <c r="R174" i="3"/>
  <c r="R177" i="3"/>
  <c r="R180" i="3"/>
  <c r="R183" i="3"/>
  <c r="R186" i="3"/>
  <c r="R189" i="3"/>
  <c r="R192" i="3"/>
  <c r="R195" i="3"/>
  <c r="R213" i="3"/>
  <c r="R218" i="3"/>
  <c r="R224" i="3"/>
  <c r="R228" i="3"/>
  <c r="R214" i="3"/>
  <c r="R229" i="3"/>
  <c r="G262" i="7"/>
  <c r="J262" i="5"/>
  <c r="G262" i="5"/>
  <c r="AA262" i="3" l="1"/>
  <c r="AB262" i="3"/>
  <c r="Z262" i="3"/>
  <c r="G186" i="2"/>
  <c r="G218" i="2"/>
  <c r="G249" i="2"/>
  <c r="G187" i="2"/>
  <c r="G219" i="2"/>
  <c r="G172" i="2"/>
  <c r="G220" i="2"/>
  <c r="G189" i="2"/>
  <c r="G252" i="2"/>
  <c r="G158" i="2"/>
  <c r="G222" i="2"/>
  <c r="G159" i="2"/>
  <c r="G207" i="2"/>
  <c r="G144" i="2"/>
  <c r="C144" i="1" s="1"/>
  <c r="G240" i="2"/>
  <c r="G192" i="2"/>
  <c r="G154" i="2"/>
  <c r="G234" i="2"/>
  <c r="G155" i="2"/>
  <c r="G203" i="2"/>
  <c r="G250" i="2"/>
  <c r="G156" i="2"/>
  <c r="G204" i="2"/>
  <c r="G251" i="2"/>
  <c r="G157" i="2"/>
  <c r="G205" i="2"/>
  <c r="G237" i="2"/>
  <c r="G174" i="2"/>
  <c r="G206" i="2"/>
  <c r="G253" i="2"/>
  <c r="G191" i="2"/>
  <c r="G239" i="2"/>
  <c r="G176" i="2"/>
  <c r="G224" i="2"/>
  <c r="G255" i="2"/>
  <c r="G170" i="2"/>
  <c r="G202" i="2"/>
  <c r="G171" i="2"/>
  <c r="G235" i="2"/>
  <c r="G188" i="2"/>
  <c r="G236" i="2"/>
  <c r="G173" i="2"/>
  <c r="G221" i="2"/>
  <c r="G190" i="2"/>
  <c r="G238" i="2"/>
  <c r="G175" i="2"/>
  <c r="G223" i="2"/>
  <c r="G254" i="2"/>
  <c r="G160" i="2"/>
  <c r="G208" i="2"/>
  <c r="G201" i="2"/>
  <c r="G150" i="2"/>
  <c r="G194" i="2"/>
  <c r="G166" i="2"/>
  <c r="G209" i="2"/>
  <c r="G197" i="2"/>
  <c r="G161" i="2"/>
  <c r="G248" i="2"/>
  <c r="G183" i="2"/>
  <c r="G233" i="2"/>
  <c r="G148" i="2"/>
  <c r="G216" i="2"/>
  <c r="G227" i="2"/>
  <c r="G231" i="2"/>
  <c r="G215" i="2"/>
  <c r="G246" i="2"/>
  <c r="G256" i="2"/>
  <c r="G230" i="2"/>
  <c r="G182" i="2"/>
  <c r="G153" i="2"/>
  <c r="G260" i="2"/>
  <c r="G178" i="2"/>
  <c r="G245" i="2"/>
  <c r="G193" i="2"/>
  <c r="G152" i="2"/>
  <c r="G165" i="2"/>
  <c r="G145" i="2"/>
  <c r="G259" i="2"/>
  <c r="G244" i="2"/>
  <c r="G228" i="2"/>
  <c r="G169" i="2"/>
  <c r="G196" i="2"/>
  <c r="G164" i="2"/>
  <c r="G200" i="2"/>
  <c r="G184" i="2"/>
  <c r="G211" i="2"/>
  <c r="G195" i="2"/>
  <c r="G179" i="2"/>
  <c r="G147" i="2"/>
  <c r="G163" i="2"/>
  <c r="G210" i="2"/>
  <c r="G261" i="2"/>
  <c r="G214" i="2"/>
  <c r="G198" i="2"/>
  <c r="G232" i="2"/>
  <c r="G229" i="2"/>
  <c r="G162" i="2"/>
  <c r="G213" i="2"/>
  <c r="G177" i="2"/>
  <c r="G146" i="2"/>
  <c r="G181" i="2"/>
  <c r="G149" i="2"/>
  <c r="G217" i="2"/>
  <c r="G180" i="2"/>
  <c r="G212" i="2"/>
  <c r="G247" i="2"/>
  <c r="G185" i="2"/>
  <c r="G258" i="2"/>
  <c r="G243" i="2"/>
  <c r="G168" i="2"/>
  <c r="G199" i="2"/>
  <c r="G167" i="2"/>
  <c r="G151" i="2"/>
  <c r="G257" i="2"/>
  <c r="G242" i="2"/>
  <c r="G241" i="2"/>
  <c r="G226" i="2"/>
  <c r="G225" i="2"/>
  <c r="G89" i="2"/>
  <c r="J102" i="7"/>
  <c r="K102" i="7" s="1"/>
  <c r="L102" i="7" s="1"/>
  <c r="P102" i="7" s="1"/>
  <c r="G31" i="2"/>
  <c r="C31" i="1" s="1"/>
  <c r="G32" i="2"/>
  <c r="G41" i="2"/>
  <c r="C157" i="1"/>
  <c r="AD74" i="3"/>
  <c r="J74" i="7" s="1"/>
  <c r="K74" i="7" s="1"/>
  <c r="L74" i="7" s="1"/>
  <c r="P74" i="7" s="1"/>
  <c r="AD72" i="3"/>
  <c r="J72" i="7" s="1"/>
  <c r="K72" i="7" s="1"/>
  <c r="L72" i="7" s="1"/>
  <c r="P72" i="7" s="1"/>
  <c r="AD50" i="3"/>
  <c r="J50" i="7" s="1"/>
  <c r="K50" i="7" s="1"/>
  <c r="L50" i="7" s="1"/>
  <c r="P50" i="7" s="1"/>
  <c r="AD75" i="3"/>
  <c r="J75" i="7" s="1"/>
  <c r="K75" i="7" s="1"/>
  <c r="L75" i="7" s="1"/>
  <c r="P75" i="7" s="1"/>
  <c r="G138" i="2"/>
  <c r="C138" i="1" s="1"/>
  <c r="G139" i="2"/>
  <c r="C139" i="1" s="1"/>
  <c r="G69" i="2"/>
  <c r="G105" i="2"/>
  <c r="C105" i="1" s="1"/>
  <c r="AD48" i="3"/>
  <c r="J48" i="7" s="1"/>
  <c r="K48" i="7" s="1"/>
  <c r="L48" i="7" s="1"/>
  <c r="P48" i="7" s="1"/>
  <c r="AD116" i="3"/>
  <c r="J116" i="7" s="1"/>
  <c r="K116" i="7" s="1"/>
  <c r="L116" i="7" s="1"/>
  <c r="P116" i="7" s="1"/>
  <c r="AD65" i="3"/>
  <c r="J65" i="7" s="1"/>
  <c r="K65" i="7" s="1"/>
  <c r="L65" i="7" s="1"/>
  <c r="P65" i="7" s="1"/>
  <c r="AD82" i="3"/>
  <c r="J82" i="7" s="1"/>
  <c r="K82" i="7" s="1"/>
  <c r="L82" i="7" s="1"/>
  <c r="P82" i="7" s="1"/>
  <c r="AD76" i="3"/>
  <c r="J76" i="7" s="1"/>
  <c r="K76" i="7" s="1"/>
  <c r="L76" i="7" s="1"/>
  <c r="P76" i="7" s="1"/>
  <c r="AD97" i="3"/>
  <c r="J97" i="7" s="1"/>
  <c r="K97" i="7" s="1"/>
  <c r="L97" i="7" s="1"/>
  <c r="P97" i="7" s="1"/>
  <c r="AD73" i="3"/>
  <c r="J73" i="7" s="1"/>
  <c r="K73" i="7" s="1"/>
  <c r="L73" i="7" s="1"/>
  <c r="P73" i="7" s="1"/>
  <c r="AD12" i="3"/>
  <c r="J12" i="7" s="1"/>
  <c r="K12" i="7" s="1"/>
  <c r="L12" i="7" s="1"/>
  <c r="P12" i="7" s="1"/>
  <c r="AD81" i="3"/>
  <c r="J81" i="7" s="1"/>
  <c r="K81" i="7" s="1"/>
  <c r="L81" i="7" s="1"/>
  <c r="P81" i="7" s="1"/>
  <c r="AD37" i="3"/>
  <c r="J37" i="7" s="1"/>
  <c r="K37" i="7" s="1"/>
  <c r="L37" i="7" s="1"/>
  <c r="P37" i="7" s="1"/>
  <c r="AD68" i="3"/>
  <c r="J68" i="7" s="1"/>
  <c r="K68" i="7" s="1"/>
  <c r="L68" i="7" s="1"/>
  <c r="P68" i="7" s="1"/>
  <c r="AD93" i="3"/>
  <c r="J93" i="7" s="1"/>
  <c r="K93" i="7" s="1"/>
  <c r="L93" i="7" s="1"/>
  <c r="P93" i="7" s="1"/>
  <c r="AD9" i="3"/>
  <c r="J9" i="7" s="1"/>
  <c r="K9" i="7" s="1"/>
  <c r="L9" i="7" s="1"/>
  <c r="P9" i="7" s="1"/>
  <c r="AD87" i="3"/>
  <c r="J87" i="7" s="1"/>
  <c r="K87" i="7" s="1"/>
  <c r="L87" i="7" s="1"/>
  <c r="P87" i="7" s="1"/>
  <c r="AD30" i="3"/>
  <c r="AD11" i="3"/>
  <c r="J11" i="7" s="1"/>
  <c r="K11" i="7" s="1"/>
  <c r="L11" i="7" s="1"/>
  <c r="P11" i="7" s="1"/>
  <c r="AD58" i="3"/>
  <c r="J58" i="7" s="1"/>
  <c r="K58" i="7" s="1"/>
  <c r="L58" i="7" s="1"/>
  <c r="P58" i="7" s="1"/>
  <c r="AD20" i="3"/>
  <c r="J20" i="7" s="1"/>
  <c r="K20" i="7" s="1"/>
  <c r="L20" i="7" s="1"/>
  <c r="P20" i="7" s="1"/>
  <c r="AD141" i="3"/>
  <c r="J141" i="7" s="1"/>
  <c r="K141" i="7" s="1"/>
  <c r="L141" i="7" s="1"/>
  <c r="P141" i="7" s="1"/>
  <c r="AD89" i="3"/>
  <c r="AD28" i="3"/>
  <c r="J28" i="7" s="1"/>
  <c r="K28" i="7" s="1"/>
  <c r="L28" i="7" s="1"/>
  <c r="P28" i="7" s="1"/>
  <c r="AD6" i="3"/>
  <c r="J6" i="7" s="1"/>
  <c r="K6" i="7" s="1"/>
  <c r="L6" i="7" s="1"/>
  <c r="P6" i="7" s="1"/>
  <c r="AD36" i="3"/>
  <c r="J36" i="7" s="1"/>
  <c r="K36" i="7" s="1"/>
  <c r="L36" i="7" s="1"/>
  <c r="P36" i="7" s="1"/>
  <c r="AD108" i="3"/>
  <c r="J108" i="7" s="1"/>
  <c r="K108" i="7" s="1"/>
  <c r="L108" i="7" s="1"/>
  <c r="P108" i="7" s="1"/>
  <c r="AD106" i="3"/>
  <c r="J106" i="7" s="1"/>
  <c r="K106" i="7" s="1"/>
  <c r="L106" i="7" s="1"/>
  <c r="P106" i="7" s="1"/>
  <c r="AD77" i="3"/>
  <c r="J77" i="7" s="1"/>
  <c r="K77" i="7" s="1"/>
  <c r="L77" i="7" s="1"/>
  <c r="P77" i="7" s="1"/>
  <c r="AD123" i="3"/>
  <c r="J123" i="7" s="1"/>
  <c r="K123" i="7" s="1"/>
  <c r="L123" i="7" s="1"/>
  <c r="P123" i="7" s="1"/>
  <c r="AD54" i="3"/>
  <c r="J54" i="7" s="1"/>
  <c r="K54" i="7" s="1"/>
  <c r="L54" i="7" s="1"/>
  <c r="P54" i="7" s="1"/>
  <c r="AD21" i="3"/>
  <c r="J21" i="7" s="1"/>
  <c r="K21" i="7" s="1"/>
  <c r="L21" i="7" s="1"/>
  <c r="P21" i="7" s="1"/>
  <c r="AD66" i="3"/>
  <c r="J66" i="7" s="1"/>
  <c r="K66" i="7" s="1"/>
  <c r="L66" i="7" s="1"/>
  <c r="P66" i="7" s="1"/>
  <c r="AD14" i="3"/>
  <c r="J14" i="7" s="1"/>
  <c r="K14" i="7" s="1"/>
  <c r="L14" i="7" s="1"/>
  <c r="P14" i="7" s="1"/>
  <c r="AD119" i="3"/>
  <c r="J119" i="7" s="1"/>
  <c r="K119" i="7" s="1"/>
  <c r="L119" i="7" s="1"/>
  <c r="P119" i="7" s="1"/>
  <c r="AD45" i="3"/>
  <c r="J45" i="7" s="1"/>
  <c r="K45" i="7" s="1"/>
  <c r="L45" i="7" s="1"/>
  <c r="P45" i="7" s="1"/>
  <c r="AD24" i="3"/>
  <c r="J24" i="7" s="1"/>
  <c r="K24" i="7" s="1"/>
  <c r="L24" i="7" s="1"/>
  <c r="P24" i="7" s="1"/>
  <c r="AD5" i="3"/>
  <c r="J5" i="7" s="1"/>
  <c r="K5" i="7" s="1"/>
  <c r="AD98" i="3"/>
  <c r="J98" i="7" s="1"/>
  <c r="K98" i="7" s="1"/>
  <c r="L98" i="7" s="1"/>
  <c r="P98" i="7" s="1"/>
  <c r="AD57" i="3"/>
  <c r="J57" i="7" s="1"/>
  <c r="K57" i="7" s="1"/>
  <c r="L57" i="7" s="1"/>
  <c r="P57" i="7" s="1"/>
  <c r="AD112" i="3"/>
  <c r="J112" i="7" s="1"/>
  <c r="K112" i="7" s="1"/>
  <c r="L112" i="7" s="1"/>
  <c r="P112" i="7" s="1"/>
  <c r="AD51" i="3"/>
  <c r="J51" i="7" s="1"/>
  <c r="K51" i="7" s="1"/>
  <c r="L51" i="7" s="1"/>
  <c r="P51" i="7" s="1"/>
  <c r="AD143" i="3"/>
  <c r="J143" i="7" s="1"/>
  <c r="K143" i="7" s="1"/>
  <c r="L143" i="7" s="1"/>
  <c r="P143" i="7" s="1"/>
  <c r="AD117" i="3"/>
  <c r="J117" i="7" s="1"/>
  <c r="K117" i="7" s="1"/>
  <c r="L117" i="7" s="1"/>
  <c r="P117" i="7" s="1"/>
  <c r="AD110" i="3"/>
  <c r="J110" i="7" s="1"/>
  <c r="K110" i="7" s="1"/>
  <c r="L110" i="7" s="1"/>
  <c r="P110" i="7" s="1"/>
  <c r="AD125" i="3"/>
  <c r="J125" i="7" s="1"/>
  <c r="K125" i="7" s="1"/>
  <c r="L125" i="7" s="1"/>
  <c r="P125" i="7" s="1"/>
  <c r="AD103" i="3"/>
  <c r="J103" i="7" s="1"/>
  <c r="K103" i="7" s="1"/>
  <c r="L103" i="7" s="1"/>
  <c r="P103" i="7" s="1"/>
  <c r="AD113" i="3"/>
  <c r="J113" i="7" s="1"/>
  <c r="K113" i="7" s="1"/>
  <c r="L113" i="7" s="1"/>
  <c r="P113" i="7" s="1"/>
  <c r="AD15" i="3"/>
  <c r="J15" i="7" s="1"/>
  <c r="K15" i="7" s="1"/>
  <c r="L15" i="7" s="1"/>
  <c r="P15" i="7" s="1"/>
  <c r="AD90" i="3"/>
  <c r="J90" i="7" s="1"/>
  <c r="K90" i="7" s="1"/>
  <c r="L90" i="7" s="1"/>
  <c r="P90" i="7" s="1"/>
  <c r="AD63" i="3"/>
  <c r="J63" i="7" s="1"/>
  <c r="K63" i="7" s="1"/>
  <c r="L63" i="7" s="1"/>
  <c r="P63" i="7" s="1"/>
  <c r="AD29" i="3"/>
  <c r="J29" i="7" s="1"/>
  <c r="K29" i="7" s="1"/>
  <c r="L29" i="7" s="1"/>
  <c r="P29" i="7" s="1"/>
  <c r="AD137" i="3"/>
  <c r="J137" i="7" s="1"/>
  <c r="K137" i="7" s="1"/>
  <c r="L137" i="7" s="1"/>
  <c r="P137" i="7" s="1"/>
  <c r="AD85" i="3"/>
  <c r="J85" i="7" s="1"/>
  <c r="K85" i="7" s="1"/>
  <c r="L85" i="7" s="1"/>
  <c r="P85" i="7" s="1"/>
  <c r="AD10" i="3"/>
  <c r="J10" i="7" s="1"/>
  <c r="K10" i="7" s="1"/>
  <c r="L10" i="7" s="1"/>
  <c r="P10" i="7" s="1"/>
  <c r="AD40" i="3"/>
  <c r="J40" i="7" s="1"/>
  <c r="K40" i="7" s="1"/>
  <c r="L40" i="7" s="1"/>
  <c r="P40" i="7" s="1"/>
  <c r="AD44" i="3"/>
  <c r="J44" i="7" s="1"/>
  <c r="K44" i="7" s="1"/>
  <c r="L44" i="7" s="1"/>
  <c r="P44" i="7" s="1"/>
  <c r="J8" i="7"/>
  <c r="K8" i="7" s="1"/>
  <c r="L8" i="7" s="1"/>
  <c r="P8" i="7" s="1"/>
  <c r="AD32" i="3"/>
  <c r="J32" i="7" s="1"/>
  <c r="K32" i="7" s="1"/>
  <c r="L32" i="7" s="1"/>
  <c r="P32" i="7" s="1"/>
  <c r="AD107" i="3"/>
  <c r="J107" i="7" s="1"/>
  <c r="K107" i="7" s="1"/>
  <c r="L107" i="7" s="1"/>
  <c r="P107" i="7" s="1"/>
  <c r="AD7" i="3"/>
  <c r="AD80" i="3"/>
  <c r="J80" i="7" s="1"/>
  <c r="K80" i="7" s="1"/>
  <c r="L80" i="7" s="1"/>
  <c r="P80" i="7" s="1"/>
  <c r="AD128" i="3"/>
  <c r="J128" i="7" s="1"/>
  <c r="K128" i="7" s="1"/>
  <c r="L128" i="7" s="1"/>
  <c r="P128" i="7" s="1"/>
  <c r="AD47" i="3"/>
  <c r="J47" i="7" s="1"/>
  <c r="K47" i="7" s="1"/>
  <c r="L47" i="7" s="1"/>
  <c r="P47" i="7" s="1"/>
  <c r="AD46" i="3"/>
  <c r="J46" i="7" s="1"/>
  <c r="K46" i="7" s="1"/>
  <c r="L46" i="7" s="1"/>
  <c r="P46" i="7" s="1"/>
  <c r="AD52" i="3"/>
  <c r="J52" i="7" s="1"/>
  <c r="K52" i="7" s="1"/>
  <c r="L52" i="7" s="1"/>
  <c r="P52" i="7" s="1"/>
  <c r="AD126" i="3"/>
  <c r="J126" i="7" s="1"/>
  <c r="K126" i="7" s="1"/>
  <c r="L126" i="7" s="1"/>
  <c r="P126" i="7" s="1"/>
  <c r="AD114" i="3"/>
  <c r="J114" i="7" s="1"/>
  <c r="K114" i="7" s="1"/>
  <c r="L114" i="7" s="1"/>
  <c r="P114" i="7" s="1"/>
  <c r="AD136" i="3"/>
  <c r="J136" i="7" s="1"/>
  <c r="K136" i="7" s="1"/>
  <c r="L136" i="7" s="1"/>
  <c r="P136" i="7" s="1"/>
  <c r="AD121" i="3"/>
  <c r="J121" i="7" s="1"/>
  <c r="K121" i="7" s="1"/>
  <c r="L121" i="7" s="1"/>
  <c r="P121" i="7" s="1"/>
  <c r="AD122" i="3"/>
  <c r="J122" i="7" s="1"/>
  <c r="K122" i="7" s="1"/>
  <c r="L122" i="7" s="1"/>
  <c r="P122" i="7" s="1"/>
  <c r="AD101" i="3"/>
  <c r="J101" i="7" s="1"/>
  <c r="K101" i="7" s="1"/>
  <c r="L101" i="7" s="1"/>
  <c r="P101" i="7" s="1"/>
  <c r="AD118" i="3"/>
  <c r="J118" i="7" s="1"/>
  <c r="K118" i="7" s="1"/>
  <c r="L118" i="7" s="1"/>
  <c r="P118" i="7" s="1"/>
  <c r="AD132" i="3"/>
  <c r="J132" i="7" s="1"/>
  <c r="K132" i="7" s="1"/>
  <c r="L132" i="7" s="1"/>
  <c r="P132" i="7" s="1"/>
  <c r="AD133" i="3"/>
  <c r="J133" i="7" s="1"/>
  <c r="K133" i="7" s="1"/>
  <c r="L133" i="7" s="1"/>
  <c r="P133" i="7" s="1"/>
  <c r="AD124" i="3"/>
  <c r="J124" i="7" s="1"/>
  <c r="K124" i="7" s="1"/>
  <c r="L124" i="7" s="1"/>
  <c r="P124" i="7" s="1"/>
  <c r="R262" i="3"/>
  <c r="AD129" i="3"/>
  <c r="J129" i="7" s="1"/>
  <c r="K129" i="7" s="1"/>
  <c r="L129" i="7" s="1"/>
  <c r="P129" i="7" s="1"/>
  <c r="AD134" i="3"/>
  <c r="J134" i="7" s="1"/>
  <c r="K134" i="7" s="1"/>
  <c r="L134" i="7" s="1"/>
  <c r="P134" i="7" s="1"/>
  <c r="AD131" i="3"/>
  <c r="J131" i="7" s="1"/>
  <c r="K131" i="7" s="1"/>
  <c r="L131" i="7" s="1"/>
  <c r="P131" i="7" s="1"/>
  <c r="AD142" i="3"/>
  <c r="J142" i="7" s="1"/>
  <c r="K142" i="7" s="1"/>
  <c r="L142" i="7" s="1"/>
  <c r="P142" i="7" s="1"/>
  <c r="AD130" i="3"/>
  <c r="J130" i="7" s="1"/>
  <c r="K130" i="7" s="1"/>
  <c r="L130" i="7" s="1"/>
  <c r="P130" i="7" s="1"/>
  <c r="AD135" i="3"/>
  <c r="J135" i="7" s="1"/>
  <c r="K135" i="7" s="1"/>
  <c r="L135" i="7" s="1"/>
  <c r="P135" i="7" s="1"/>
  <c r="AD127" i="3"/>
  <c r="J127" i="7" s="1"/>
  <c r="K127" i="7" s="1"/>
  <c r="L127" i="7" s="1"/>
  <c r="P127" i="7" s="1"/>
  <c r="AD140" i="3"/>
  <c r="J140" i="7" s="1"/>
  <c r="K140" i="7" s="1"/>
  <c r="L140" i="7" s="1"/>
  <c r="P140" i="7" s="1"/>
  <c r="H262" i="5"/>
  <c r="AD262" i="3" l="1"/>
  <c r="J89" i="7"/>
  <c r="K89" i="7" s="1"/>
  <c r="L89" i="7" s="1"/>
  <c r="P89" i="7" s="1"/>
  <c r="J7" i="7"/>
  <c r="K7" i="7" s="1"/>
  <c r="L7" i="7" s="1"/>
  <c r="P7" i="7" s="1"/>
  <c r="L5" i="7"/>
  <c r="P5" i="7" s="1"/>
  <c r="J30" i="7"/>
  <c r="K30" i="7" s="1"/>
  <c r="L30" i="7" s="1"/>
  <c r="P30" i="7" s="1"/>
  <c r="L262" i="7"/>
  <c r="K262" i="7" s="1"/>
  <c r="O264" i="1"/>
  <c r="P262" i="7" l="1"/>
  <c r="M262" i="7" s="1"/>
  <c r="P264" i="3"/>
  <c r="P264" i="7" l="1"/>
  <c r="C264" i="3"/>
  <c r="F268" i="8"/>
  <c r="F269" i="8"/>
  <c r="F270" i="8"/>
  <c r="F267" i="8"/>
  <c r="R6" i="7" l="1"/>
  <c r="T6" i="7" s="1"/>
  <c r="V6" i="7" s="1"/>
  <c r="X6" i="7" s="1"/>
  <c r="R144" i="7"/>
  <c r="R157" i="7"/>
  <c r="T157" i="7" s="1"/>
  <c r="V157" i="7" s="1"/>
  <c r="X157" i="7" s="1"/>
  <c r="R148" i="7"/>
  <c r="T148" i="7" s="1"/>
  <c r="V148" i="7" s="1"/>
  <c r="X148" i="7" s="1"/>
  <c r="R257" i="7"/>
  <c r="T257" i="7" s="1"/>
  <c r="V257" i="7" s="1"/>
  <c r="X257" i="7" s="1"/>
  <c r="R229" i="7"/>
  <c r="T229" i="7" s="1"/>
  <c r="V229" i="7" s="1"/>
  <c r="X229" i="7" s="1"/>
  <c r="R244" i="7"/>
  <c r="T244" i="7" s="1"/>
  <c r="V244" i="7" s="1"/>
  <c r="X244" i="7" s="1"/>
  <c r="R219" i="7"/>
  <c r="T219" i="7" s="1"/>
  <c r="V219" i="7" s="1"/>
  <c r="X219" i="7" s="1"/>
  <c r="R146" i="7"/>
  <c r="T146" i="7" s="1"/>
  <c r="V146" i="7" s="1"/>
  <c r="X146" i="7" s="1"/>
  <c r="R162" i="7"/>
  <c r="T162" i="7" s="1"/>
  <c r="V162" i="7" s="1"/>
  <c r="X162" i="7" s="1"/>
  <c r="R215" i="7"/>
  <c r="T215" i="7" s="1"/>
  <c r="V215" i="7" s="1"/>
  <c r="X215" i="7" s="1"/>
  <c r="R242" i="7"/>
  <c r="T242" i="7" s="1"/>
  <c r="V242" i="7" s="1"/>
  <c r="X242" i="7" s="1"/>
  <c r="R183" i="7"/>
  <c r="T183" i="7" s="1"/>
  <c r="V183" i="7" s="1"/>
  <c r="X183" i="7" s="1"/>
  <c r="R175" i="7"/>
  <c r="T175" i="7" s="1"/>
  <c r="V175" i="7" s="1"/>
  <c r="X175" i="7" s="1"/>
  <c r="R179" i="7"/>
  <c r="T179" i="7" s="1"/>
  <c r="V179" i="7" s="1"/>
  <c r="X179" i="7" s="1"/>
  <c r="R189" i="7"/>
  <c r="T189" i="7" s="1"/>
  <c r="V189" i="7" s="1"/>
  <c r="X189" i="7" s="1"/>
  <c r="R232" i="7"/>
  <c r="T232" i="7" s="1"/>
  <c r="V232" i="7" s="1"/>
  <c r="X232" i="7" s="1"/>
  <c r="R228" i="7"/>
  <c r="T228" i="7" s="1"/>
  <c r="V228" i="7" s="1"/>
  <c r="X228" i="7" s="1"/>
  <c r="R176" i="7"/>
  <c r="T176" i="7" s="1"/>
  <c r="V176" i="7" s="1"/>
  <c r="X176" i="7" s="1"/>
  <c r="R205" i="7"/>
  <c r="T205" i="7" s="1"/>
  <c r="V205" i="7" s="1"/>
  <c r="X205" i="7" s="1"/>
  <c r="R260" i="7"/>
  <c r="T260" i="7" s="1"/>
  <c r="V260" i="7" s="1"/>
  <c r="X260" i="7" s="1"/>
  <c r="R259" i="7"/>
  <c r="T259" i="7" s="1"/>
  <c r="V259" i="7" s="1"/>
  <c r="X259" i="7" s="1"/>
  <c r="R235" i="7"/>
  <c r="T235" i="7" s="1"/>
  <c r="V235" i="7" s="1"/>
  <c r="X235" i="7" s="1"/>
  <c r="R161" i="7"/>
  <c r="T161" i="7" s="1"/>
  <c r="V161" i="7" s="1"/>
  <c r="X161" i="7" s="1"/>
  <c r="R261" i="7"/>
  <c r="T261" i="7" s="1"/>
  <c r="V261" i="7" s="1"/>
  <c r="X261" i="7" s="1"/>
  <c r="R172" i="7"/>
  <c r="T172" i="7" s="1"/>
  <c r="V172" i="7" s="1"/>
  <c r="X172" i="7" s="1"/>
  <c r="R226" i="7"/>
  <c r="T226" i="7" s="1"/>
  <c r="V226" i="7" s="1"/>
  <c r="X226" i="7" s="1"/>
  <c r="R231" i="7"/>
  <c r="T231" i="7" s="1"/>
  <c r="V231" i="7" s="1"/>
  <c r="X231" i="7" s="1"/>
  <c r="R174" i="7"/>
  <c r="T174" i="7" s="1"/>
  <c r="V174" i="7" s="1"/>
  <c r="X174" i="7" s="1"/>
  <c r="R256" i="7"/>
  <c r="T256" i="7" s="1"/>
  <c r="V256" i="7" s="1"/>
  <c r="X256" i="7" s="1"/>
  <c r="R147" i="7"/>
  <c r="T147" i="7" s="1"/>
  <c r="V147" i="7" s="1"/>
  <c r="X147" i="7" s="1"/>
  <c r="R251" i="7"/>
  <c r="T251" i="7" s="1"/>
  <c r="V251" i="7" s="1"/>
  <c r="X251" i="7" s="1"/>
  <c r="R213" i="7"/>
  <c r="T213" i="7" s="1"/>
  <c r="V213" i="7" s="1"/>
  <c r="X213" i="7" s="1"/>
  <c r="R243" i="7"/>
  <c r="T243" i="7" s="1"/>
  <c r="V243" i="7" s="1"/>
  <c r="X243" i="7" s="1"/>
  <c r="R145" i="7"/>
  <c r="T145" i="7" s="1"/>
  <c r="V145" i="7" s="1"/>
  <c r="X145" i="7" s="1"/>
  <c r="R160" i="7"/>
  <c r="T160" i="7" s="1"/>
  <c r="V160" i="7" s="1"/>
  <c r="X160" i="7" s="1"/>
  <c r="R245" i="7"/>
  <c r="T245" i="7" s="1"/>
  <c r="V245" i="7" s="1"/>
  <c r="X245" i="7" s="1"/>
  <c r="R221" i="7"/>
  <c r="T221" i="7" s="1"/>
  <c r="V221" i="7" s="1"/>
  <c r="X221" i="7" s="1"/>
  <c r="R187" i="7"/>
  <c r="T187" i="7" s="1"/>
  <c r="V187" i="7" s="1"/>
  <c r="X187" i="7" s="1"/>
  <c r="R216" i="7"/>
  <c r="T216" i="7" s="1"/>
  <c r="V216" i="7" s="1"/>
  <c r="X216" i="7" s="1"/>
  <c r="R149" i="7"/>
  <c r="T149" i="7" s="1"/>
  <c r="V149" i="7" s="1"/>
  <c r="X149" i="7" s="1"/>
  <c r="R230" i="7"/>
  <c r="T230" i="7" s="1"/>
  <c r="V230" i="7" s="1"/>
  <c r="X230" i="7" s="1"/>
  <c r="R188" i="7"/>
  <c r="T188" i="7" s="1"/>
  <c r="V188" i="7" s="1"/>
  <c r="X188" i="7" s="1"/>
  <c r="R168" i="7"/>
  <c r="T168" i="7" s="1"/>
  <c r="V168" i="7" s="1"/>
  <c r="X168" i="7" s="1"/>
  <c r="R210" i="7"/>
  <c r="T210" i="7" s="1"/>
  <c r="V210" i="7" s="1"/>
  <c r="X210" i="7" s="1"/>
  <c r="R237" i="7"/>
  <c r="T237" i="7" s="1"/>
  <c r="V237" i="7" s="1"/>
  <c r="X237" i="7" s="1"/>
  <c r="R258" i="7"/>
  <c r="T258" i="7" s="1"/>
  <c r="V258" i="7" s="1"/>
  <c r="X258" i="7" s="1"/>
  <c r="R240" i="7"/>
  <c r="T240" i="7" s="1"/>
  <c r="V240" i="7" s="1"/>
  <c r="X240" i="7" s="1"/>
  <c r="R151" i="7"/>
  <c r="T151" i="7" s="1"/>
  <c r="V151" i="7" s="1"/>
  <c r="X151" i="7" s="1"/>
  <c r="R224" i="7"/>
  <c r="T224" i="7" s="1"/>
  <c r="V224" i="7" s="1"/>
  <c r="X224" i="7" s="1"/>
  <c r="R171" i="7"/>
  <c r="T171" i="7" s="1"/>
  <c r="V171" i="7" s="1"/>
  <c r="X171" i="7" s="1"/>
  <c r="R214" i="7"/>
  <c r="T214" i="7" s="1"/>
  <c r="V214" i="7" s="1"/>
  <c r="X214" i="7" s="1"/>
  <c r="R155" i="7"/>
  <c r="T155" i="7" s="1"/>
  <c r="V155" i="7" s="1"/>
  <c r="X155" i="7" s="1"/>
  <c r="R236" i="7"/>
  <c r="T236" i="7" s="1"/>
  <c r="V236" i="7" s="1"/>
  <c r="X236" i="7" s="1"/>
  <c r="R204" i="7"/>
  <c r="T204" i="7" s="1"/>
  <c r="V204" i="7" s="1"/>
  <c r="X204" i="7" s="1"/>
  <c r="R184" i="7"/>
  <c r="T184" i="7" s="1"/>
  <c r="V184" i="7" s="1"/>
  <c r="X184" i="7" s="1"/>
  <c r="R159" i="7"/>
  <c r="T159" i="7" s="1"/>
  <c r="V159" i="7" s="1"/>
  <c r="X159" i="7" s="1"/>
  <c r="R200" i="7"/>
  <c r="T200" i="7" s="1"/>
  <c r="V200" i="7" s="1"/>
  <c r="X200" i="7" s="1"/>
  <c r="R191" i="7"/>
  <c r="T191" i="7" s="1"/>
  <c r="V191" i="7" s="1"/>
  <c r="X191" i="7" s="1"/>
  <c r="R212" i="7"/>
  <c r="T212" i="7" s="1"/>
  <c r="V212" i="7" s="1"/>
  <c r="X212" i="7" s="1"/>
  <c r="R255" i="7"/>
  <c r="T255" i="7" s="1"/>
  <c r="V255" i="7" s="1"/>
  <c r="X255" i="7" s="1"/>
  <c r="R163" i="7"/>
  <c r="T163" i="7" s="1"/>
  <c r="V163" i="7" s="1"/>
  <c r="X163" i="7" s="1"/>
  <c r="R182" i="7"/>
  <c r="T182" i="7" s="1"/>
  <c r="V182" i="7" s="1"/>
  <c r="X182" i="7" s="1"/>
  <c r="R154" i="7"/>
  <c r="T154" i="7" s="1"/>
  <c r="V154" i="7" s="1"/>
  <c r="X154" i="7" s="1"/>
  <c r="R209" i="7"/>
  <c r="T209" i="7" s="1"/>
  <c r="V209" i="7" s="1"/>
  <c r="X209" i="7" s="1"/>
  <c r="R203" i="7"/>
  <c r="T203" i="7" s="1"/>
  <c r="V203" i="7" s="1"/>
  <c r="X203" i="7" s="1"/>
  <c r="R195" i="7"/>
  <c r="T195" i="7" s="1"/>
  <c r="V195" i="7" s="1"/>
  <c r="X195" i="7" s="1"/>
  <c r="R250" i="7"/>
  <c r="T250" i="7" s="1"/>
  <c r="V250" i="7" s="1"/>
  <c r="X250" i="7" s="1"/>
  <c r="R192" i="7"/>
  <c r="T192" i="7" s="1"/>
  <c r="V192" i="7" s="1"/>
  <c r="X192" i="7" s="1"/>
  <c r="R193" i="7"/>
  <c r="T193" i="7" s="1"/>
  <c r="V193" i="7" s="1"/>
  <c r="X193" i="7" s="1"/>
  <c r="R167" i="7"/>
  <c r="T167" i="7" s="1"/>
  <c r="V167" i="7" s="1"/>
  <c r="X167" i="7" s="1"/>
  <c r="R241" i="7"/>
  <c r="T241" i="7" s="1"/>
  <c r="V241" i="7" s="1"/>
  <c r="X241" i="7" s="1"/>
  <c r="R150" i="7"/>
  <c r="T150" i="7" s="1"/>
  <c r="V150" i="7" s="1"/>
  <c r="X150" i="7" s="1"/>
  <c r="R158" i="7"/>
  <c r="T158" i="7" s="1"/>
  <c r="V158" i="7" s="1"/>
  <c r="X158" i="7" s="1"/>
  <c r="R199" i="7"/>
  <c r="T199" i="7" s="1"/>
  <c r="V199" i="7" s="1"/>
  <c r="X199" i="7" s="1"/>
  <c r="R156" i="7"/>
  <c r="T156" i="7" s="1"/>
  <c r="V156" i="7" s="1"/>
  <c r="X156" i="7" s="1"/>
  <c r="R252" i="7"/>
  <c r="T252" i="7" s="1"/>
  <c r="V252" i="7" s="1"/>
  <c r="X252" i="7" s="1"/>
  <c r="R227" i="7"/>
  <c r="T227" i="7" s="1"/>
  <c r="V227" i="7" s="1"/>
  <c r="X227" i="7" s="1"/>
  <c r="R194" i="7"/>
  <c r="T194" i="7" s="1"/>
  <c r="V194" i="7" s="1"/>
  <c r="X194" i="7" s="1"/>
  <c r="R166" i="7"/>
  <c r="T166" i="7" s="1"/>
  <c r="V166" i="7" s="1"/>
  <c r="X166" i="7" s="1"/>
  <c r="R198" i="7"/>
  <c r="T198" i="7" s="1"/>
  <c r="V198" i="7" s="1"/>
  <c r="X198" i="7" s="1"/>
  <c r="R247" i="7"/>
  <c r="T247" i="7" s="1"/>
  <c r="V247" i="7" s="1"/>
  <c r="X247" i="7" s="1"/>
  <c r="R246" i="7"/>
  <c r="T246" i="7" s="1"/>
  <c r="V246" i="7" s="1"/>
  <c r="X246" i="7" s="1"/>
  <c r="R208" i="7"/>
  <c r="T208" i="7" s="1"/>
  <c r="V208" i="7" s="1"/>
  <c r="X208" i="7" s="1"/>
  <c r="R177" i="7"/>
  <c r="T177" i="7" s="1"/>
  <c r="V177" i="7" s="1"/>
  <c r="X177" i="7" s="1"/>
  <c r="R225" i="7"/>
  <c r="T225" i="7" s="1"/>
  <c r="V225" i="7" s="1"/>
  <c r="X225" i="7" s="1"/>
  <c r="R220" i="7"/>
  <c r="T220" i="7" s="1"/>
  <c r="V220" i="7" s="1"/>
  <c r="X220" i="7" s="1"/>
  <c r="R178" i="7"/>
  <c r="T178" i="7" s="1"/>
  <c r="V178" i="7" s="1"/>
  <c r="X178" i="7" s="1"/>
  <c r="R173" i="7"/>
  <c r="T173" i="7" s="1"/>
  <c r="V173" i="7" s="1"/>
  <c r="X173" i="7" s="1"/>
  <c r="R190" i="7"/>
  <c r="T190" i="7" s="1"/>
  <c r="V190" i="7" s="1"/>
  <c r="X190" i="7" s="1"/>
  <c r="R211" i="7"/>
  <c r="T211" i="7" s="1"/>
  <c r="V211" i="7" s="1"/>
  <c r="X211" i="7" s="1"/>
  <c r="R164" i="7"/>
  <c r="T164" i="7" s="1"/>
  <c r="V164" i="7" s="1"/>
  <c r="X164" i="7" s="1"/>
  <c r="R239" i="7"/>
  <c r="T239" i="7" s="1"/>
  <c r="V239" i="7" s="1"/>
  <c r="X239" i="7" s="1"/>
  <c r="R249" i="7"/>
  <c r="T249" i="7" s="1"/>
  <c r="V249" i="7" s="1"/>
  <c r="X249" i="7" s="1"/>
  <c r="R185" i="7"/>
  <c r="T185" i="7" s="1"/>
  <c r="V185" i="7" s="1"/>
  <c r="X185" i="7" s="1"/>
  <c r="R233" i="7"/>
  <c r="T233" i="7" s="1"/>
  <c r="V233" i="7" s="1"/>
  <c r="X233" i="7" s="1"/>
  <c r="R207" i="7"/>
  <c r="T207" i="7" s="1"/>
  <c r="V207" i="7" s="1"/>
  <c r="X207" i="7" s="1"/>
  <c r="R223" i="7"/>
  <c r="T223" i="7" s="1"/>
  <c r="V223" i="7" s="1"/>
  <c r="X223" i="7" s="1"/>
  <c r="R186" i="7"/>
  <c r="T186" i="7" s="1"/>
  <c r="V186" i="7" s="1"/>
  <c r="X186" i="7" s="1"/>
  <c r="R206" i="7"/>
  <c r="T206" i="7" s="1"/>
  <c r="V206" i="7" s="1"/>
  <c r="X206" i="7" s="1"/>
  <c r="R165" i="7"/>
  <c r="T165" i="7" s="1"/>
  <c r="V165" i="7" s="1"/>
  <c r="X165" i="7" s="1"/>
  <c r="R170" i="7"/>
  <c r="T170" i="7" s="1"/>
  <c r="V170" i="7" s="1"/>
  <c r="X170" i="7" s="1"/>
  <c r="R248" i="7"/>
  <c r="T248" i="7" s="1"/>
  <c r="V248" i="7" s="1"/>
  <c r="X248" i="7" s="1"/>
  <c r="R180" i="7"/>
  <c r="T180" i="7" s="1"/>
  <c r="V180" i="7" s="1"/>
  <c r="X180" i="7" s="1"/>
  <c r="R217" i="7"/>
  <c r="T217" i="7" s="1"/>
  <c r="V217" i="7" s="1"/>
  <c r="X217" i="7" s="1"/>
  <c r="R253" i="7"/>
  <c r="T253" i="7" s="1"/>
  <c r="V253" i="7" s="1"/>
  <c r="X253" i="7" s="1"/>
  <c r="R202" i="7"/>
  <c r="T202" i="7" s="1"/>
  <c r="V202" i="7" s="1"/>
  <c r="X202" i="7" s="1"/>
  <c r="R181" i="7"/>
  <c r="T181" i="7" s="1"/>
  <c r="V181" i="7" s="1"/>
  <c r="X181" i="7" s="1"/>
  <c r="R234" i="7"/>
  <c r="T234" i="7" s="1"/>
  <c r="V234" i="7" s="1"/>
  <c r="X234" i="7" s="1"/>
  <c r="R197" i="7"/>
  <c r="T197" i="7" s="1"/>
  <c r="V197" i="7" s="1"/>
  <c r="X197" i="7" s="1"/>
  <c r="R196" i="7"/>
  <c r="T196" i="7" s="1"/>
  <c r="V196" i="7" s="1"/>
  <c r="X196" i="7" s="1"/>
  <c r="R201" i="7"/>
  <c r="T201" i="7" s="1"/>
  <c r="V201" i="7" s="1"/>
  <c r="X201" i="7" s="1"/>
  <c r="R238" i="7"/>
  <c r="T238" i="7" s="1"/>
  <c r="V238" i="7" s="1"/>
  <c r="X238" i="7" s="1"/>
  <c r="R153" i="7"/>
  <c r="T153" i="7" s="1"/>
  <c r="V153" i="7" s="1"/>
  <c r="X153" i="7" s="1"/>
  <c r="R152" i="7"/>
  <c r="T152" i="7" s="1"/>
  <c r="V152" i="7" s="1"/>
  <c r="X152" i="7" s="1"/>
  <c r="R222" i="7"/>
  <c r="T222" i="7" s="1"/>
  <c r="V222" i="7" s="1"/>
  <c r="X222" i="7" s="1"/>
  <c r="R218" i="7"/>
  <c r="T218" i="7" s="1"/>
  <c r="V218" i="7" s="1"/>
  <c r="X218" i="7" s="1"/>
  <c r="R169" i="7"/>
  <c r="T169" i="7" s="1"/>
  <c r="V169" i="7" s="1"/>
  <c r="X169" i="7" s="1"/>
  <c r="R254" i="7"/>
  <c r="T254" i="7" s="1"/>
  <c r="V254" i="7" s="1"/>
  <c r="X254" i="7" s="1"/>
  <c r="R105" i="7"/>
  <c r="E105" i="1" s="1"/>
  <c r="R32" i="7"/>
  <c r="T32" i="7" s="1"/>
  <c r="V32" i="7" s="1"/>
  <c r="X32" i="7" s="1"/>
  <c r="R138" i="7"/>
  <c r="E138" i="1" s="1"/>
  <c r="E157" i="1"/>
  <c r="R31" i="7"/>
  <c r="E31" i="1" s="1"/>
  <c r="R139" i="7"/>
  <c r="E139" i="1" s="1"/>
  <c r="R5" i="7"/>
  <c r="T5" i="7" s="1"/>
  <c r="V5" i="7" s="1"/>
  <c r="R89" i="7"/>
  <c r="T89" i="7" s="1"/>
  <c r="V89" i="7" s="1"/>
  <c r="X89" i="7" s="1"/>
  <c r="F272" i="8"/>
  <c r="H267" i="8" s="1"/>
  <c r="J272" i="1"/>
  <c r="X5" i="7" l="1"/>
  <c r="Z5" i="7" s="1"/>
  <c r="T105" i="7"/>
  <c r="T31" i="7"/>
  <c r="Z157" i="7"/>
  <c r="T139" i="7"/>
  <c r="V139" i="7" s="1"/>
  <c r="X139" i="7" s="1"/>
  <c r="T138" i="7"/>
  <c r="T144" i="7"/>
  <c r="V144" i="7" s="1"/>
  <c r="X144" i="7" s="1"/>
  <c r="E144" i="1"/>
  <c r="AB157" i="7"/>
  <c r="AB139" i="7"/>
  <c r="V138" i="7" l="1"/>
  <c r="X138" i="7" s="1"/>
  <c r="Z138" i="7" s="1"/>
  <c r="V31" i="7"/>
  <c r="X31" i="7" s="1"/>
  <c r="Z31" i="7" s="1"/>
  <c r="V105" i="7"/>
  <c r="X105" i="7" s="1"/>
  <c r="AB105" i="7" s="1"/>
  <c r="Z144" i="7"/>
  <c r="Z139" i="7"/>
  <c r="F264" i="3"/>
  <c r="E264" i="3"/>
  <c r="D264" i="3"/>
  <c r="Z105" i="7" l="1"/>
  <c r="AB138" i="7"/>
  <c r="M264" i="3"/>
  <c r="N264" i="3"/>
  <c r="O264" i="3"/>
  <c r="K264" i="3" l="1"/>
  <c r="J264" i="3"/>
  <c r="I264" i="3"/>
  <c r="H264" i="3"/>
  <c r="D264" i="5"/>
  <c r="P270" i="1"/>
  <c r="P269" i="1"/>
  <c r="O272" i="1"/>
  <c r="E264" i="7" l="1"/>
  <c r="I264" i="7"/>
  <c r="G264" i="5"/>
  <c r="L264" i="3"/>
  <c r="Q264" i="3"/>
  <c r="G264" i="3"/>
  <c r="P272" i="1"/>
  <c r="V264" i="3" l="1"/>
  <c r="Z264" i="3" s="1"/>
  <c r="X264" i="3"/>
  <c r="AB264" i="3" s="1"/>
  <c r="J264" i="5"/>
  <c r="L31" i="5" l="1"/>
  <c r="N31" i="5" s="1"/>
  <c r="P31" i="5" s="1"/>
  <c r="R31" i="5" s="1"/>
  <c r="L144" i="5"/>
  <c r="F31" i="1"/>
  <c r="L139" i="5"/>
  <c r="N139" i="5" s="1"/>
  <c r="P139" i="5" s="1"/>
  <c r="R139" i="5" s="1"/>
  <c r="L157" i="5"/>
  <c r="N157" i="5" s="1"/>
  <c r="P157" i="5" s="1"/>
  <c r="R157" i="5" s="1"/>
  <c r="L105" i="5"/>
  <c r="N105" i="5" s="1"/>
  <c r="P105" i="5" s="1"/>
  <c r="R105" i="5" s="1"/>
  <c r="L138" i="5"/>
  <c r="N138" i="5" s="1"/>
  <c r="P138" i="5" s="1"/>
  <c r="R138" i="5" s="1"/>
  <c r="G81" i="2"/>
  <c r="C81" i="1" s="1"/>
  <c r="G28" i="2"/>
  <c r="C28" i="1" s="1"/>
  <c r="G22" i="2"/>
  <c r="C22" i="1" s="1"/>
  <c r="G10" i="2"/>
  <c r="C10" i="1" s="1"/>
  <c r="G75" i="2"/>
  <c r="C75" i="1" s="1"/>
  <c r="G19" i="2"/>
  <c r="C19" i="1" s="1"/>
  <c r="G82" i="2"/>
  <c r="C82" i="1" s="1"/>
  <c r="G79" i="2"/>
  <c r="C79" i="1" s="1"/>
  <c r="G76" i="2"/>
  <c r="C76" i="1" s="1"/>
  <c r="G73" i="2"/>
  <c r="C73" i="1" s="1"/>
  <c r="G33" i="2"/>
  <c r="C33" i="1" s="1"/>
  <c r="G29" i="2"/>
  <c r="C29" i="1" s="1"/>
  <c r="G26" i="2"/>
  <c r="C26" i="1" s="1"/>
  <c r="G23" i="2"/>
  <c r="C23" i="1" s="1"/>
  <c r="G20" i="2"/>
  <c r="C20" i="1" s="1"/>
  <c r="G17" i="2"/>
  <c r="C17" i="1" s="1"/>
  <c r="G14" i="2"/>
  <c r="C14" i="1" s="1"/>
  <c r="G11" i="2"/>
  <c r="C11" i="1" s="1"/>
  <c r="G8" i="2"/>
  <c r="C8" i="1" s="1"/>
  <c r="G5" i="2"/>
  <c r="G13" i="2"/>
  <c r="C13" i="1" s="1"/>
  <c r="G84" i="2"/>
  <c r="C84" i="1" s="1"/>
  <c r="C32" i="1"/>
  <c r="G16" i="2"/>
  <c r="C16" i="1" s="1"/>
  <c r="G78" i="2"/>
  <c r="C78" i="1" s="1"/>
  <c r="G25" i="2"/>
  <c r="C25" i="1" s="1"/>
  <c r="G7" i="2"/>
  <c r="C7" i="1" s="1"/>
  <c r="G126" i="2"/>
  <c r="C126" i="1" s="1"/>
  <c r="G66" i="2"/>
  <c r="C66" i="1" s="1"/>
  <c r="G67" i="2"/>
  <c r="C67" i="1" s="1"/>
  <c r="G120" i="2"/>
  <c r="C120" i="1" s="1"/>
  <c r="C159" i="1"/>
  <c r="C195" i="1"/>
  <c r="G15" i="2"/>
  <c r="C15" i="1" s="1"/>
  <c r="C243" i="1"/>
  <c r="G117" i="2"/>
  <c r="C117" i="1" s="1"/>
  <c r="C154" i="1"/>
  <c r="C191" i="1"/>
  <c r="C227" i="1"/>
  <c r="C261" i="1"/>
  <c r="G132" i="2"/>
  <c r="C132" i="1" s="1"/>
  <c r="C41" i="1"/>
  <c r="G87" i="2"/>
  <c r="C87" i="1" s="1"/>
  <c r="G122" i="2"/>
  <c r="C122" i="1" s="1"/>
  <c r="C162" i="1"/>
  <c r="C198" i="1"/>
  <c r="C233" i="1"/>
  <c r="G51" i="2"/>
  <c r="C51" i="1" s="1"/>
  <c r="C202" i="1"/>
  <c r="G24" i="2"/>
  <c r="C24" i="1" s="1"/>
  <c r="G59" i="2"/>
  <c r="C59" i="1" s="1"/>
  <c r="G94" i="2"/>
  <c r="C94" i="1" s="1"/>
  <c r="G129" i="2"/>
  <c r="C129" i="1" s="1"/>
  <c r="C169" i="1"/>
  <c r="C205" i="1"/>
  <c r="C240" i="1"/>
  <c r="C214" i="1"/>
  <c r="G60" i="2"/>
  <c r="C60" i="1" s="1"/>
  <c r="G114" i="2"/>
  <c r="C114" i="1" s="1"/>
  <c r="C151" i="1"/>
  <c r="C188" i="1"/>
  <c r="C224" i="1"/>
  <c r="C258" i="1"/>
  <c r="G9" i="2"/>
  <c r="C9" i="1" s="1"/>
  <c r="C160" i="1"/>
  <c r="G38" i="2"/>
  <c r="C38" i="1" s="1"/>
  <c r="G90" i="2"/>
  <c r="C90" i="1" s="1"/>
  <c r="G125" i="2"/>
  <c r="C125" i="1" s="1"/>
  <c r="C165" i="1"/>
  <c r="C201" i="1"/>
  <c r="C236" i="1"/>
  <c r="G39" i="2"/>
  <c r="C39" i="1" s="1"/>
  <c r="G40" i="2"/>
  <c r="C40" i="1" s="1"/>
  <c r="G86" i="2"/>
  <c r="C86" i="1" s="1"/>
  <c r="C161" i="1"/>
  <c r="C197" i="1"/>
  <c r="C232" i="1"/>
  <c r="G21" i="2"/>
  <c r="C21" i="1" s="1"/>
  <c r="C166" i="1"/>
  <c r="G47" i="2"/>
  <c r="C47" i="1" s="1"/>
  <c r="G93" i="2"/>
  <c r="C93" i="1" s="1"/>
  <c r="G128" i="2"/>
  <c r="C128" i="1" s="1"/>
  <c r="C168" i="1"/>
  <c r="C204" i="1"/>
  <c r="C239" i="1"/>
  <c r="G74" i="2"/>
  <c r="C74" i="1" s="1"/>
  <c r="C226" i="1"/>
  <c r="G30" i="2"/>
  <c r="C30" i="1" s="1"/>
  <c r="G65" i="2"/>
  <c r="C65" i="1" s="1"/>
  <c r="G100" i="2"/>
  <c r="C100" i="1" s="1"/>
  <c r="G135" i="2"/>
  <c r="C135" i="1" s="1"/>
  <c r="C175" i="1"/>
  <c r="C211" i="1"/>
  <c r="C246" i="1"/>
  <c r="C231" i="1"/>
  <c r="G72" i="2"/>
  <c r="C72" i="1" s="1"/>
  <c r="G119" i="2"/>
  <c r="C119" i="1" s="1"/>
  <c r="C158" i="1"/>
  <c r="C194" i="1"/>
  <c r="C230" i="1"/>
  <c r="G140" i="2"/>
  <c r="C140" i="1" s="1"/>
  <c r="G34" i="2"/>
  <c r="C34" i="1" s="1"/>
  <c r="C184" i="1"/>
  <c r="G44" i="2"/>
  <c r="C44" i="1" s="1"/>
  <c r="G96" i="2"/>
  <c r="C96" i="1" s="1"/>
  <c r="G131" i="2"/>
  <c r="C131" i="1" s="1"/>
  <c r="C171" i="1"/>
  <c r="C207" i="1"/>
  <c r="C242" i="1"/>
  <c r="C237" i="1"/>
  <c r="C215" i="1"/>
  <c r="G99" i="2"/>
  <c r="C99" i="1" s="1"/>
  <c r="C256" i="1"/>
  <c r="G48" i="2"/>
  <c r="C48" i="1" s="1"/>
  <c r="C156" i="1"/>
  <c r="C172" i="1"/>
  <c r="G136" i="2"/>
  <c r="C136" i="1" s="1"/>
  <c r="G43" i="2"/>
  <c r="C43" i="1" s="1"/>
  <c r="G115" i="2"/>
  <c r="C115" i="1" s="1"/>
  <c r="C189" i="1"/>
  <c r="C259" i="1"/>
  <c r="G52" i="2"/>
  <c r="C52" i="1" s="1"/>
  <c r="G111" i="2"/>
  <c r="C111" i="1" s="1"/>
  <c r="C173" i="1"/>
  <c r="C221" i="1"/>
  <c r="G68" i="2"/>
  <c r="C68" i="1" s="1"/>
  <c r="G35" i="2"/>
  <c r="C35" i="1" s="1"/>
  <c r="G106" i="2"/>
  <c r="C106" i="1" s="1"/>
  <c r="C155" i="1"/>
  <c r="C213" i="1"/>
  <c r="G27" i="2"/>
  <c r="C27" i="1" s="1"/>
  <c r="G6" i="2"/>
  <c r="C6" i="1" s="1"/>
  <c r="G54" i="2"/>
  <c r="C54" i="1" s="1"/>
  <c r="G113" i="2"/>
  <c r="C113" i="1" s="1"/>
  <c r="C163" i="1"/>
  <c r="C223" i="1"/>
  <c r="C196" i="1"/>
  <c r="G95" i="2"/>
  <c r="C95" i="1" s="1"/>
  <c r="C145" i="1"/>
  <c r="C206" i="1"/>
  <c r="C252" i="1"/>
  <c r="G56" i="2"/>
  <c r="C56" i="1" s="1"/>
  <c r="G50" i="2"/>
  <c r="C50" i="1" s="1"/>
  <c r="G137" i="2"/>
  <c r="C137" i="1" s="1"/>
  <c r="C216" i="1"/>
  <c r="G62" i="2"/>
  <c r="C62" i="1" s="1"/>
  <c r="G57" i="2"/>
  <c r="C57" i="1" s="1"/>
  <c r="G127" i="2"/>
  <c r="C127" i="1" s="1"/>
  <c r="C179" i="1"/>
  <c r="C238" i="1"/>
  <c r="G91" i="2"/>
  <c r="C91" i="1" s="1"/>
  <c r="G53" i="2"/>
  <c r="C53" i="1" s="1"/>
  <c r="G112" i="2"/>
  <c r="C112" i="1" s="1"/>
  <c r="C174" i="1"/>
  <c r="C222" i="1"/>
  <c r="G97" i="2"/>
  <c r="C97" i="1" s="1"/>
  <c r="G12" i="2"/>
  <c r="C12" i="1" s="1"/>
  <c r="G71" i="2"/>
  <c r="C71" i="1" s="1"/>
  <c r="G118" i="2"/>
  <c r="C118" i="1" s="1"/>
  <c r="C181" i="1"/>
  <c r="C229" i="1"/>
  <c r="C248" i="1"/>
  <c r="G101" i="2"/>
  <c r="C101" i="1" s="1"/>
  <c r="C164" i="1"/>
  <c r="C212" i="1"/>
  <c r="G80" i="2"/>
  <c r="C80" i="1" s="1"/>
  <c r="G55" i="2"/>
  <c r="C55" i="1" s="1"/>
  <c r="C146" i="1"/>
  <c r="C219" i="1"/>
  <c r="G85" i="2"/>
  <c r="C85" i="1" s="1"/>
  <c r="G63" i="2"/>
  <c r="C63" i="1" s="1"/>
  <c r="G133" i="2"/>
  <c r="C133" i="1" s="1"/>
  <c r="C185" i="1"/>
  <c r="C244" i="1"/>
  <c r="G116" i="2"/>
  <c r="C116" i="1" s="1"/>
  <c r="G58" i="2"/>
  <c r="C58" i="1" s="1"/>
  <c r="C180" i="1"/>
  <c r="C228" i="1"/>
  <c r="G121" i="2"/>
  <c r="C121" i="1" s="1"/>
  <c r="G18" i="2"/>
  <c r="C18" i="1" s="1"/>
  <c r="G77" i="2"/>
  <c r="C77" i="1" s="1"/>
  <c r="G123" i="2"/>
  <c r="C123" i="1" s="1"/>
  <c r="C187" i="1"/>
  <c r="C234" i="1"/>
  <c r="G37" i="2"/>
  <c r="C37" i="1" s="1"/>
  <c r="G108" i="2"/>
  <c r="C108" i="1" s="1"/>
  <c r="C170" i="1"/>
  <c r="C218" i="1"/>
  <c r="G103" i="2"/>
  <c r="C103" i="1" s="1"/>
  <c r="G61" i="2"/>
  <c r="C61" i="1" s="1"/>
  <c r="C152" i="1"/>
  <c r="C225" i="1"/>
  <c r="G110" i="2"/>
  <c r="C110" i="1" s="1"/>
  <c r="G92" i="2"/>
  <c r="C92" i="1" s="1"/>
  <c r="G141" i="2"/>
  <c r="C141" i="1" s="1"/>
  <c r="C203" i="1"/>
  <c r="C249" i="1"/>
  <c r="C190" i="1"/>
  <c r="G64" i="2"/>
  <c r="C64" i="1" s="1"/>
  <c r="G134" i="2"/>
  <c r="C134" i="1" s="1"/>
  <c r="C186" i="1"/>
  <c r="C245" i="1"/>
  <c r="C153" i="1"/>
  <c r="G36" i="2"/>
  <c r="C36" i="1" s="1"/>
  <c r="G83" i="2"/>
  <c r="C83" i="1" s="1"/>
  <c r="G143" i="2"/>
  <c r="C143" i="1" s="1"/>
  <c r="C193" i="1"/>
  <c r="C251" i="1"/>
  <c r="G49" i="2"/>
  <c r="C49" i="1" s="1"/>
  <c r="G124" i="2"/>
  <c r="C124" i="1" s="1"/>
  <c r="C176" i="1"/>
  <c r="C235" i="1"/>
  <c r="C208" i="1"/>
  <c r="G102" i="2"/>
  <c r="C102" i="1" s="1"/>
  <c r="C177" i="1"/>
  <c r="C247" i="1"/>
  <c r="C147" i="1"/>
  <c r="G98" i="2"/>
  <c r="C98" i="1" s="1"/>
  <c r="C148" i="1"/>
  <c r="C209" i="1"/>
  <c r="C255" i="1"/>
  <c r="C220" i="1"/>
  <c r="G70" i="2"/>
  <c r="C70" i="1" s="1"/>
  <c r="G142" i="2"/>
  <c r="C142" i="1" s="1"/>
  <c r="C192" i="1"/>
  <c r="C250" i="1"/>
  <c r="C178" i="1"/>
  <c r="G42" i="2"/>
  <c r="C42" i="1" s="1"/>
  <c r="G88" i="2"/>
  <c r="C88" i="1" s="1"/>
  <c r="C150" i="1"/>
  <c r="C199" i="1"/>
  <c r="C257" i="1"/>
  <c r="G130" i="2"/>
  <c r="C130" i="1" s="1"/>
  <c r="C182" i="1"/>
  <c r="C241" i="1"/>
  <c r="G109" i="2"/>
  <c r="C109" i="1" s="1"/>
  <c r="C183" i="1"/>
  <c r="C253" i="1"/>
  <c r="G46" i="2"/>
  <c r="C46" i="1" s="1"/>
  <c r="G104" i="2"/>
  <c r="C104" i="1" s="1"/>
  <c r="C167" i="1"/>
  <c r="G45" i="2"/>
  <c r="C45" i="1" s="1"/>
  <c r="C260" i="1"/>
  <c r="C149" i="1"/>
  <c r="C210" i="1"/>
  <c r="C254" i="1"/>
  <c r="G107" i="2"/>
  <c r="C107" i="1" s="1"/>
  <c r="C217" i="1"/>
  <c r="C89" i="1"/>
  <c r="C200" i="1"/>
  <c r="L243" i="5"/>
  <c r="N243" i="5" s="1"/>
  <c r="P243" i="5" s="1"/>
  <c r="R243" i="5" s="1"/>
  <c r="L234" i="5"/>
  <c r="N234" i="5" s="1"/>
  <c r="P234" i="5" s="1"/>
  <c r="R234" i="5" s="1"/>
  <c r="L251" i="5"/>
  <c r="N251" i="5" s="1"/>
  <c r="P251" i="5" s="1"/>
  <c r="R251" i="5" s="1"/>
  <c r="L197" i="5"/>
  <c r="N197" i="5" s="1"/>
  <c r="P197" i="5" s="1"/>
  <c r="R197" i="5" s="1"/>
  <c r="L161" i="5"/>
  <c r="N161" i="5" s="1"/>
  <c r="P161" i="5" s="1"/>
  <c r="R161" i="5" s="1"/>
  <c r="L191" i="5"/>
  <c r="N191" i="5" s="1"/>
  <c r="P191" i="5" s="1"/>
  <c r="R191" i="5" s="1"/>
  <c r="L255" i="5"/>
  <c r="N255" i="5" s="1"/>
  <c r="P255" i="5" s="1"/>
  <c r="R255" i="5" s="1"/>
  <c r="L247" i="5"/>
  <c r="N247" i="5" s="1"/>
  <c r="P247" i="5" s="1"/>
  <c r="R247" i="5" s="1"/>
  <c r="L242" i="5"/>
  <c r="N242" i="5" s="1"/>
  <c r="P242" i="5" s="1"/>
  <c r="R242" i="5" s="1"/>
  <c r="L249" i="5"/>
  <c r="N249" i="5" s="1"/>
  <c r="P249" i="5" s="1"/>
  <c r="R249" i="5" s="1"/>
  <c r="L223" i="5"/>
  <c r="N223" i="5" s="1"/>
  <c r="P223" i="5" s="1"/>
  <c r="R223" i="5" s="1"/>
  <c r="L217" i="5"/>
  <c r="N217" i="5" s="1"/>
  <c r="P217" i="5" s="1"/>
  <c r="R217" i="5" s="1"/>
  <c r="L212" i="5"/>
  <c r="N212" i="5" s="1"/>
  <c r="P212" i="5" s="1"/>
  <c r="R212" i="5" s="1"/>
  <c r="L208" i="5"/>
  <c r="N208" i="5" s="1"/>
  <c r="P208" i="5" s="1"/>
  <c r="R208" i="5" s="1"/>
  <c r="L260" i="5"/>
  <c r="N260" i="5" s="1"/>
  <c r="P260" i="5" s="1"/>
  <c r="R260" i="5" s="1"/>
  <c r="L226" i="5"/>
  <c r="N226" i="5" s="1"/>
  <c r="P226" i="5" s="1"/>
  <c r="R226" i="5" s="1"/>
  <c r="L167" i="5"/>
  <c r="N167" i="5" s="1"/>
  <c r="P167" i="5" s="1"/>
  <c r="R167" i="5" s="1"/>
  <c r="L200" i="5"/>
  <c r="N200" i="5" s="1"/>
  <c r="P200" i="5" s="1"/>
  <c r="R200" i="5" s="1"/>
  <c r="L185" i="5"/>
  <c r="N185" i="5" s="1"/>
  <c r="P185" i="5" s="1"/>
  <c r="R185" i="5" s="1"/>
  <c r="L174" i="5"/>
  <c r="N174" i="5" s="1"/>
  <c r="P174" i="5" s="1"/>
  <c r="R174" i="5" s="1"/>
  <c r="L239" i="5"/>
  <c r="N239" i="5" s="1"/>
  <c r="P239" i="5" s="1"/>
  <c r="R239" i="5" s="1"/>
  <c r="L140" i="5"/>
  <c r="N140" i="5" s="1"/>
  <c r="P140" i="5" s="1"/>
  <c r="R140" i="5" s="1"/>
  <c r="L206" i="5"/>
  <c r="N206" i="5" s="1"/>
  <c r="P206" i="5" s="1"/>
  <c r="R206" i="5" s="1"/>
  <c r="L179" i="5"/>
  <c r="N179" i="5" s="1"/>
  <c r="P179" i="5" s="1"/>
  <c r="R179" i="5" s="1"/>
  <c r="L188" i="5"/>
  <c r="N188" i="5" s="1"/>
  <c r="P188" i="5" s="1"/>
  <c r="R188" i="5" s="1"/>
  <c r="L214" i="5"/>
  <c r="N214" i="5" s="1"/>
  <c r="P214" i="5" s="1"/>
  <c r="R214" i="5" s="1"/>
  <c r="L248" i="5"/>
  <c r="N248" i="5" s="1"/>
  <c r="P248" i="5" s="1"/>
  <c r="R248" i="5" s="1"/>
  <c r="L180" i="5"/>
  <c r="N180" i="5" s="1"/>
  <c r="P180" i="5" s="1"/>
  <c r="R180" i="5" s="1"/>
  <c r="L135" i="5"/>
  <c r="N135" i="5" s="1"/>
  <c r="P135" i="5" s="1"/>
  <c r="R135" i="5" s="1"/>
  <c r="L213" i="5"/>
  <c r="N213" i="5" s="1"/>
  <c r="P213" i="5" s="1"/>
  <c r="R213" i="5" s="1"/>
  <c r="L173" i="5"/>
  <c r="N173" i="5" s="1"/>
  <c r="P173" i="5" s="1"/>
  <c r="R173" i="5" s="1"/>
  <c r="L150" i="5"/>
  <c r="N150" i="5" s="1"/>
  <c r="P150" i="5" s="1"/>
  <c r="R150" i="5" s="1"/>
  <c r="L136" i="5"/>
  <c r="N136" i="5" s="1"/>
  <c r="P136" i="5" s="1"/>
  <c r="R136" i="5" s="1"/>
  <c r="L121" i="5"/>
  <c r="N121" i="5" s="1"/>
  <c r="P121" i="5" s="1"/>
  <c r="R121" i="5" s="1"/>
  <c r="L49" i="5"/>
  <c r="N49" i="5" s="1"/>
  <c r="P49" i="5" s="1"/>
  <c r="R49" i="5" s="1"/>
  <c r="L30" i="5"/>
  <c r="N30" i="5" s="1"/>
  <c r="P30" i="5" s="1"/>
  <c r="R30" i="5" s="1"/>
  <c r="L12" i="5"/>
  <c r="N12" i="5" s="1"/>
  <c r="P12" i="5" s="1"/>
  <c r="R12" i="5" s="1"/>
  <c r="L132" i="5"/>
  <c r="N132" i="5" s="1"/>
  <c r="P132" i="5" s="1"/>
  <c r="R132" i="5" s="1"/>
  <c r="L9" i="5"/>
  <c r="N9" i="5" s="1"/>
  <c r="P9" i="5" s="1"/>
  <c r="R9" i="5" s="1"/>
  <c r="L117" i="5"/>
  <c r="N117" i="5" s="1"/>
  <c r="P117" i="5" s="1"/>
  <c r="R117" i="5" s="1"/>
  <c r="L114" i="5"/>
  <c r="N114" i="5" s="1"/>
  <c r="P114" i="5" s="1"/>
  <c r="R114" i="5" s="1"/>
  <c r="L108" i="5"/>
  <c r="N108" i="5" s="1"/>
  <c r="P108" i="5" s="1"/>
  <c r="R108" i="5" s="1"/>
  <c r="L101" i="5"/>
  <c r="N101" i="5" s="1"/>
  <c r="P101" i="5" s="1"/>
  <c r="R101" i="5" s="1"/>
  <c r="L95" i="5"/>
  <c r="N95" i="5" s="1"/>
  <c r="P95" i="5" s="1"/>
  <c r="R95" i="5" s="1"/>
  <c r="L89" i="5"/>
  <c r="N89" i="5" s="1"/>
  <c r="P89" i="5" s="1"/>
  <c r="R89" i="5" s="1"/>
  <c r="L83" i="5"/>
  <c r="N83" i="5" s="1"/>
  <c r="P83" i="5" s="1"/>
  <c r="R83" i="5" s="1"/>
  <c r="L77" i="5"/>
  <c r="N77" i="5" s="1"/>
  <c r="P77" i="5" s="1"/>
  <c r="R77" i="5" s="1"/>
  <c r="L71" i="5"/>
  <c r="N71" i="5" s="1"/>
  <c r="P71" i="5" s="1"/>
  <c r="R71" i="5" s="1"/>
  <c r="L65" i="5"/>
  <c r="N65" i="5" s="1"/>
  <c r="P65" i="5" s="1"/>
  <c r="R65" i="5" s="1"/>
  <c r="L59" i="5"/>
  <c r="N59" i="5" s="1"/>
  <c r="P59" i="5" s="1"/>
  <c r="R59" i="5" s="1"/>
  <c r="L28" i="5"/>
  <c r="N28" i="5" s="1"/>
  <c r="P28" i="5" s="1"/>
  <c r="R28" i="5" s="1"/>
  <c r="L46" i="5"/>
  <c r="N46" i="5" s="1"/>
  <c r="P46" i="5" s="1"/>
  <c r="R46" i="5" s="1"/>
  <c r="L10" i="5"/>
  <c r="N10" i="5" s="1"/>
  <c r="P10" i="5" s="1"/>
  <c r="R10" i="5" s="1"/>
  <c r="L27" i="5"/>
  <c r="N27" i="5" s="1"/>
  <c r="P27" i="5" s="1"/>
  <c r="R27" i="5" s="1"/>
  <c r="L47" i="5"/>
  <c r="N47" i="5" s="1"/>
  <c r="P47" i="5" s="1"/>
  <c r="R47" i="5" s="1"/>
  <c r="L158" i="5"/>
  <c r="N158" i="5" s="1"/>
  <c r="P158" i="5" s="1"/>
  <c r="R158" i="5" s="1"/>
  <c r="L69" i="5"/>
  <c r="N69" i="5" s="1"/>
  <c r="P69" i="5" s="1"/>
  <c r="R69" i="5" s="1"/>
  <c r="L170" i="5"/>
  <c r="N170" i="5" s="1"/>
  <c r="P170" i="5" s="1"/>
  <c r="R170" i="5" s="1"/>
  <c r="L103" i="5"/>
  <c r="N103" i="5" s="1"/>
  <c r="P103" i="5" s="1"/>
  <c r="R103" i="5" s="1"/>
  <c r="L189" i="5"/>
  <c r="N189" i="5" s="1"/>
  <c r="P189" i="5" s="1"/>
  <c r="R189" i="5" s="1"/>
  <c r="L20" i="5"/>
  <c r="N20" i="5" s="1"/>
  <c r="P20" i="5" s="1"/>
  <c r="R20" i="5" s="1"/>
  <c r="L257" i="5"/>
  <c r="N257" i="5" s="1"/>
  <c r="P257" i="5" s="1"/>
  <c r="R257" i="5" s="1"/>
  <c r="L11" i="5"/>
  <c r="N11" i="5" s="1"/>
  <c r="P11" i="5" s="1"/>
  <c r="R11" i="5" s="1"/>
  <c r="L230" i="5"/>
  <c r="N230" i="5" s="1"/>
  <c r="P230" i="5" s="1"/>
  <c r="R230" i="5" s="1"/>
  <c r="L244" i="5"/>
  <c r="N244" i="5" s="1"/>
  <c r="P244" i="5" s="1"/>
  <c r="R244" i="5" s="1"/>
  <c r="L193" i="5"/>
  <c r="N193" i="5" s="1"/>
  <c r="P193" i="5" s="1"/>
  <c r="R193" i="5" s="1"/>
  <c r="L76" i="5"/>
  <c r="N76" i="5" s="1"/>
  <c r="P76" i="5" s="1"/>
  <c r="R76" i="5" s="1"/>
  <c r="L113" i="5"/>
  <c r="N113" i="5" s="1"/>
  <c r="P113" i="5" s="1"/>
  <c r="R113" i="5" s="1"/>
  <c r="L163" i="5"/>
  <c r="N163" i="5" s="1"/>
  <c r="P163" i="5" s="1"/>
  <c r="R163" i="5" s="1"/>
  <c r="L25" i="5"/>
  <c r="N25" i="5" s="1"/>
  <c r="P25" i="5" s="1"/>
  <c r="R25" i="5" s="1"/>
  <c r="L16" i="5"/>
  <c r="N16" i="5" s="1"/>
  <c r="P16" i="5" s="1"/>
  <c r="R16" i="5" s="1"/>
  <c r="L151" i="5"/>
  <c r="N151" i="5" s="1"/>
  <c r="P151" i="5" s="1"/>
  <c r="R151" i="5" s="1"/>
  <c r="L37" i="5"/>
  <c r="N37" i="5" s="1"/>
  <c r="P37" i="5" s="1"/>
  <c r="R37" i="5" s="1"/>
  <c r="L52" i="5"/>
  <c r="N52" i="5" s="1"/>
  <c r="P52" i="5" s="1"/>
  <c r="R52" i="5" s="1"/>
  <c r="L72" i="5"/>
  <c r="N72" i="5" s="1"/>
  <c r="P72" i="5" s="1"/>
  <c r="R72" i="5" s="1"/>
  <c r="L90" i="5"/>
  <c r="N90" i="5" s="1"/>
  <c r="P90" i="5" s="1"/>
  <c r="R90" i="5" s="1"/>
  <c r="L109" i="5"/>
  <c r="N109" i="5" s="1"/>
  <c r="P109" i="5" s="1"/>
  <c r="R109" i="5" s="1"/>
  <c r="L238" i="5"/>
  <c r="N238" i="5" s="1"/>
  <c r="P238" i="5" s="1"/>
  <c r="R238" i="5" s="1"/>
  <c r="L192" i="5"/>
  <c r="N192" i="5" s="1"/>
  <c r="P192" i="5" s="1"/>
  <c r="R192" i="5" s="1"/>
  <c r="L125" i="5"/>
  <c r="N125" i="5" s="1"/>
  <c r="P125" i="5" s="1"/>
  <c r="R125" i="5" s="1"/>
  <c r="L127" i="5"/>
  <c r="N127" i="5" s="1"/>
  <c r="P127" i="5" s="1"/>
  <c r="R127" i="5" s="1"/>
  <c r="L216" i="5"/>
  <c r="N216" i="5" s="1"/>
  <c r="P216" i="5" s="1"/>
  <c r="R216" i="5" s="1"/>
  <c r="L126" i="5"/>
  <c r="N126" i="5" s="1"/>
  <c r="P126" i="5" s="1"/>
  <c r="R126" i="5" s="1"/>
  <c r="L80" i="5"/>
  <c r="N80" i="5" s="1"/>
  <c r="P80" i="5" s="1"/>
  <c r="R80" i="5" s="1"/>
  <c r="L39" i="5"/>
  <c r="N39" i="5" s="1"/>
  <c r="P39" i="5" s="1"/>
  <c r="R39" i="5" s="1"/>
  <c r="L203" i="5"/>
  <c r="N203" i="5" s="1"/>
  <c r="P203" i="5" s="1"/>
  <c r="R203" i="5" s="1"/>
  <c r="L62" i="5"/>
  <c r="N62" i="5" s="1"/>
  <c r="P62" i="5" s="1"/>
  <c r="R62" i="5" s="1"/>
  <c r="L33" i="5"/>
  <c r="N33" i="5" s="1"/>
  <c r="P33" i="5" s="1"/>
  <c r="R33" i="5" s="1"/>
  <c r="L115" i="5"/>
  <c r="N115" i="5" s="1"/>
  <c r="P115" i="5" s="1"/>
  <c r="R115" i="5" s="1"/>
  <c r="L29" i="5"/>
  <c r="N29" i="5" s="1"/>
  <c r="P29" i="5" s="1"/>
  <c r="R29" i="5" s="1"/>
  <c r="L195" i="5"/>
  <c r="N195" i="5" s="1"/>
  <c r="P195" i="5" s="1"/>
  <c r="R195" i="5" s="1"/>
  <c r="L120" i="5"/>
  <c r="N120" i="5" s="1"/>
  <c r="P120" i="5" s="1"/>
  <c r="R120" i="5" s="1"/>
  <c r="L245" i="5"/>
  <c r="N245" i="5" s="1"/>
  <c r="P245" i="5" s="1"/>
  <c r="R245" i="5" s="1"/>
  <c r="L221" i="5"/>
  <c r="N221" i="5" s="1"/>
  <c r="P221" i="5" s="1"/>
  <c r="R221" i="5" s="1"/>
  <c r="L196" i="5"/>
  <c r="N196" i="5" s="1"/>
  <c r="P196" i="5" s="1"/>
  <c r="R196" i="5" s="1"/>
  <c r="L202" i="5"/>
  <c r="N202" i="5" s="1"/>
  <c r="P202" i="5" s="1"/>
  <c r="R202" i="5" s="1"/>
  <c r="L237" i="5"/>
  <c r="N237" i="5" s="1"/>
  <c r="P237" i="5" s="1"/>
  <c r="R237" i="5" s="1"/>
  <c r="L7" i="5"/>
  <c r="N7" i="5" s="1"/>
  <c r="P7" i="5" s="1"/>
  <c r="R7" i="5" s="1"/>
  <c r="L129" i="5"/>
  <c r="N129" i="5" s="1"/>
  <c r="P129" i="5" s="1"/>
  <c r="R129" i="5" s="1"/>
  <c r="L15" i="5"/>
  <c r="N15" i="5" s="1"/>
  <c r="P15" i="5" s="1"/>
  <c r="R15" i="5" s="1"/>
  <c r="L82" i="5"/>
  <c r="N82" i="5" s="1"/>
  <c r="P82" i="5" s="1"/>
  <c r="R82" i="5" s="1"/>
  <c r="L116" i="5"/>
  <c r="N116" i="5" s="1"/>
  <c r="P116" i="5" s="1"/>
  <c r="R116" i="5" s="1"/>
  <c r="L186" i="5"/>
  <c r="N186" i="5" s="1"/>
  <c r="P186" i="5" s="1"/>
  <c r="R186" i="5" s="1"/>
  <c r="L43" i="5"/>
  <c r="N43" i="5" s="1"/>
  <c r="P43" i="5" s="1"/>
  <c r="R43" i="5" s="1"/>
  <c r="L22" i="5"/>
  <c r="N22" i="5" s="1"/>
  <c r="P22" i="5" s="1"/>
  <c r="R22" i="5" s="1"/>
  <c r="L164" i="5"/>
  <c r="N164" i="5" s="1"/>
  <c r="P164" i="5" s="1"/>
  <c r="R164" i="5" s="1"/>
  <c r="L40" i="5"/>
  <c r="N40" i="5" s="1"/>
  <c r="P40" i="5" s="1"/>
  <c r="R40" i="5" s="1"/>
  <c r="L57" i="5"/>
  <c r="N57" i="5" s="1"/>
  <c r="P57" i="5" s="1"/>
  <c r="R57" i="5" s="1"/>
  <c r="L75" i="5"/>
  <c r="N75" i="5" s="1"/>
  <c r="P75" i="5" s="1"/>
  <c r="R75" i="5" s="1"/>
  <c r="L93" i="5"/>
  <c r="N93" i="5" s="1"/>
  <c r="P93" i="5" s="1"/>
  <c r="R93" i="5" s="1"/>
  <c r="L112" i="5"/>
  <c r="N112" i="5" s="1"/>
  <c r="P112" i="5" s="1"/>
  <c r="R112" i="5" s="1"/>
  <c r="L56" i="5"/>
  <c r="N56" i="5" s="1"/>
  <c r="P56" i="5" s="1"/>
  <c r="R56" i="5" s="1"/>
  <c r="L14" i="5"/>
  <c r="N14" i="5" s="1"/>
  <c r="P14" i="5" s="1"/>
  <c r="R14" i="5" s="1"/>
  <c r="L178" i="5"/>
  <c r="N178" i="5" s="1"/>
  <c r="P178" i="5" s="1"/>
  <c r="R178" i="5" s="1"/>
  <c r="L143" i="5"/>
  <c r="N143" i="5" s="1"/>
  <c r="P143" i="5" s="1"/>
  <c r="R143" i="5" s="1"/>
  <c r="L233" i="5"/>
  <c r="N233" i="5" s="1"/>
  <c r="P233" i="5" s="1"/>
  <c r="R233" i="5" s="1"/>
  <c r="L146" i="5"/>
  <c r="N146" i="5" s="1"/>
  <c r="P146" i="5" s="1"/>
  <c r="R146" i="5" s="1"/>
  <c r="L111" i="5"/>
  <c r="N111" i="5" s="1"/>
  <c r="P111" i="5" s="1"/>
  <c r="R111" i="5" s="1"/>
  <c r="L68" i="5"/>
  <c r="N68" i="5" s="1"/>
  <c r="P68" i="5" s="1"/>
  <c r="R68" i="5" s="1"/>
  <c r="L110" i="5"/>
  <c r="N110" i="5" s="1"/>
  <c r="P110" i="5" s="1"/>
  <c r="R110" i="5" s="1"/>
  <c r="L86" i="5"/>
  <c r="N86" i="5" s="1"/>
  <c r="P86" i="5" s="1"/>
  <c r="R86" i="5" s="1"/>
  <c r="L61" i="5"/>
  <c r="N61" i="5" s="1"/>
  <c r="P61" i="5" s="1"/>
  <c r="R61" i="5" s="1"/>
  <c r="L169" i="5"/>
  <c r="N169" i="5" s="1"/>
  <c r="P169" i="5" s="1"/>
  <c r="R169" i="5" s="1"/>
  <c r="L48" i="5"/>
  <c r="N48" i="5" s="1"/>
  <c r="P48" i="5" s="1"/>
  <c r="R48" i="5" s="1"/>
  <c r="L198" i="5"/>
  <c r="N198" i="5" s="1"/>
  <c r="P198" i="5" s="1"/>
  <c r="R198" i="5" s="1"/>
  <c r="L137" i="5"/>
  <c r="N137" i="5" s="1"/>
  <c r="P137" i="5" s="1"/>
  <c r="R137" i="5" s="1"/>
  <c r="L256" i="5"/>
  <c r="N256" i="5" s="1"/>
  <c r="P256" i="5" s="1"/>
  <c r="R256" i="5" s="1"/>
  <c r="L229" i="5"/>
  <c r="N229" i="5" s="1"/>
  <c r="P229" i="5" s="1"/>
  <c r="R229" i="5" s="1"/>
  <c r="L209" i="5"/>
  <c r="N209" i="5" s="1"/>
  <c r="P209" i="5" s="1"/>
  <c r="R209" i="5" s="1"/>
  <c r="L211" i="5"/>
  <c r="N211" i="5" s="1"/>
  <c r="P211" i="5" s="1"/>
  <c r="R211" i="5" s="1"/>
  <c r="L253" i="5"/>
  <c r="N253" i="5" s="1"/>
  <c r="P253" i="5" s="1"/>
  <c r="R253" i="5" s="1"/>
  <c r="L24" i="5"/>
  <c r="N24" i="5" s="1"/>
  <c r="P24" i="5" s="1"/>
  <c r="R24" i="5" s="1"/>
  <c r="L133" i="5"/>
  <c r="N133" i="5" s="1"/>
  <c r="P133" i="5" s="1"/>
  <c r="R133" i="5" s="1"/>
  <c r="L53" i="5"/>
  <c r="N53" i="5" s="1"/>
  <c r="P53" i="5" s="1"/>
  <c r="R53" i="5" s="1"/>
  <c r="L88" i="5"/>
  <c r="N88" i="5" s="1"/>
  <c r="P88" i="5" s="1"/>
  <c r="R88" i="5" s="1"/>
  <c r="L118" i="5"/>
  <c r="N118" i="5" s="1"/>
  <c r="P118" i="5" s="1"/>
  <c r="R118" i="5" s="1"/>
  <c r="L5" i="5"/>
  <c r="N5" i="5" s="1"/>
  <c r="P5" i="5" s="1"/>
  <c r="R5" i="5" s="1"/>
  <c r="L55" i="5"/>
  <c r="N55" i="5" s="1"/>
  <c r="P55" i="5" s="1"/>
  <c r="R55" i="5" s="1"/>
  <c r="L34" i="5"/>
  <c r="N34" i="5" s="1"/>
  <c r="P34" i="5" s="1"/>
  <c r="R34" i="5" s="1"/>
  <c r="L6" i="5"/>
  <c r="N6" i="5" s="1"/>
  <c r="P6" i="5" s="1"/>
  <c r="R6" i="5" s="1"/>
  <c r="L44" i="5"/>
  <c r="N44" i="5" s="1"/>
  <c r="P44" i="5" s="1"/>
  <c r="R44" i="5" s="1"/>
  <c r="L60" i="5"/>
  <c r="N60" i="5" s="1"/>
  <c r="P60" i="5" s="1"/>
  <c r="R60" i="5" s="1"/>
  <c r="L78" i="5"/>
  <c r="N78" i="5" s="1"/>
  <c r="P78" i="5" s="1"/>
  <c r="R78" i="5" s="1"/>
  <c r="L96" i="5"/>
  <c r="N96" i="5" s="1"/>
  <c r="P96" i="5" s="1"/>
  <c r="R96" i="5" s="1"/>
  <c r="L148" i="5"/>
  <c r="N148" i="5" s="1"/>
  <c r="P148" i="5" s="1"/>
  <c r="R148" i="5" s="1"/>
  <c r="L74" i="5"/>
  <c r="N74" i="5" s="1"/>
  <c r="P74" i="5" s="1"/>
  <c r="R74" i="5" s="1"/>
  <c r="L51" i="5"/>
  <c r="N51" i="5" s="1"/>
  <c r="P51" i="5" s="1"/>
  <c r="R51" i="5" s="1"/>
  <c r="L8" i="5"/>
  <c r="N8" i="5" s="1"/>
  <c r="P8" i="5" s="1"/>
  <c r="R8" i="5" s="1"/>
  <c r="L147" i="5"/>
  <c r="N147" i="5" s="1"/>
  <c r="P147" i="5" s="1"/>
  <c r="R147" i="5" s="1"/>
  <c r="L241" i="5"/>
  <c r="N241" i="5" s="1"/>
  <c r="P241" i="5" s="1"/>
  <c r="R241" i="5" s="1"/>
  <c r="L175" i="5"/>
  <c r="N175" i="5" s="1"/>
  <c r="P175" i="5" s="1"/>
  <c r="R175" i="5" s="1"/>
  <c r="L128" i="5"/>
  <c r="N128" i="5" s="1"/>
  <c r="P128" i="5" s="1"/>
  <c r="R128" i="5" s="1"/>
  <c r="L104" i="5"/>
  <c r="N104" i="5" s="1"/>
  <c r="P104" i="5" s="1"/>
  <c r="R104" i="5" s="1"/>
  <c r="L145" i="5"/>
  <c r="N145" i="5" s="1"/>
  <c r="P145" i="5" s="1"/>
  <c r="R145" i="5" s="1"/>
  <c r="L123" i="5"/>
  <c r="N123" i="5" s="1"/>
  <c r="P123" i="5" s="1"/>
  <c r="R123" i="5" s="1"/>
  <c r="L67" i="5"/>
  <c r="N67" i="5" s="1"/>
  <c r="P67" i="5" s="1"/>
  <c r="R67" i="5" s="1"/>
  <c r="L187" i="5"/>
  <c r="N187" i="5" s="1"/>
  <c r="P187" i="5" s="1"/>
  <c r="R187" i="5" s="1"/>
  <c r="L155" i="5"/>
  <c r="N155" i="5" s="1"/>
  <c r="P155" i="5" s="1"/>
  <c r="R155" i="5" s="1"/>
  <c r="L204" i="5"/>
  <c r="N204" i="5" s="1"/>
  <c r="P204" i="5" s="1"/>
  <c r="R204" i="5" s="1"/>
  <c r="L254" i="5"/>
  <c r="N254" i="5" s="1"/>
  <c r="P254" i="5" s="1"/>
  <c r="R254" i="5" s="1"/>
  <c r="L236" i="5"/>
  <c r="N236" i="5" s="1"/>
  <c r="P236" i="5" s="1"/>
  <c r="R236" i="5" s="1"/>
  <c r="L219" i="5"/>
  <c r="N219" i="5" s="1"/>
  <c r="P219" i="5" s="1"/>
  <c r="R219" i="5" s="1"/>
  <c r="L231" i="5"/>
  <c r="N231" i="5" s="1"/>
  <c r="P231" i="5" s="1"/>
  <c r="R231" i="5" s="1"/>
  <c r="L210" i="5"/>
  <c r="N210" i="5" s="1"/>
  <c r="P210" i="5" s="1"/>
  <c r="R210" i="5" s="1"/>
  <c r="L38" i="5"/>
  <c r="N38" i="5" s="1"/>
  <c r="P38" i="5" s="1"/>
  <c r="R38" i="5" s="1"/>
  <c r="L149" i="5"/>
  <c r="N149" i="5" s="1"/>
  <c r="P149" i="5" s="1"/>
  <c r="R149" i="5" s="1"/>
  <c r="L58" i="5"/>
  <c r="N58" i="5" s="1"/>
  <c r="P58" i="5" s="1"/>
  <c r="R58" i="5" s="1"/>
  <c r="L94" i="5"/>
  <c r="N94" i="5" s="1"/>
  <c r="P94" i="5" s="1"/>
  <c r="R94" i="5" s="1"/>
  <c r="L130" i="5"/>
  <c r="N130" i="5" s="1"/>
  <c r="P130" i="5" s="1"/>
  <c r="R130" i="5" s="1"/>
  <c r="L13" i="5"/>
  <c r="N13" i="5" s="1"/>
  <c r="P13" i="5" s="1"/>
  <c r="R13" i="5" s="1"/>
  <c r="L171" i="5"/>
  <c r="N171" i="5" s="1"/>
  <c r="P171" i="5" s="1"/>
  <c r="R171" i="5" s="1"/>
  <c r="L119" i="5"/>
  <c r="N119" i="5" s="1"/>
  <c r="P119" i="5" s="1"/>
  <c r="R119" i="5" s="1"/>
  <c r="L19" i="5"/>
  <c r="N19" i="5" s="1"/>
  <c r="P19" i="5" s="1"/>
  <c r="R19" i="5" s="1"/>
  <c r="L156" i="5"/>
  <c r="N156" i="5" s="1"/>
  <c r="P156" i="5" s="1"/>
  <c r="R156" i="5" s="1"/>
  <c r="L63" i="5"/>
  <c r="N63" i="5" s="1"/>
  <c r="P63" i="5" s="1"/>
  <c r="R63" i="5" s="1"/>
  <c r="L81" i="5"/>
  <c r="N81" i="5" s="1"/>
  <c r="P81" i="5" s="1"/>
  <c r="R81" i="5" s="1"/>
  <c r="L99" i="5"/>
  <c r="N99" i="5" s="1"/>
  <c r="P99" i="5" s="1"/>
  <c r="R99" i="5" s="1"/>
  <c r="L177" i="5"/>
  <c r="N177" i="5" s="1"/>
  <c r="P177" i="5" s="1"/>
  <c r="R177" i="5" s="1"/>
  <c r="L98" i="5"/>
  <c r="N98" i="5" s="1"/>
  <c r="P98" i="5" s="1"/>
  <c r="R98" i="5" s="1"/>
  <c r="L91" i="5"/>
  <c r="N91" i="5" s="1"/>
  <c r="P91" i="5" s="1"/>
  <c r="R91" i="5" s="1"/>
  <c r="L26" i="5"/>
  <c r="N26" i="5" s="1"/>
  <c r="P26" i="5" s="1"/>
  <c r="R26" i="5" s="1"/>
  <c r="L152" i="5"/>
  <c r="N152" i="5" s="1"/>
  <c r="P152" i="5" s="1"/>
  <c r="R152" i="5" s="1"/>
  <c r="L252" i="5"/>
  <c r="N252" i="5" s="1"/>
  <c r="P252" i="5" s="1"/>
  <c r="R252" i="5" s="1"/>
  <c r="L182" i="5"/>
  <c r="N182" i="5" s="1"/>
  <c r="P182" i="5" s="1"/>
  <c r="R182" i="5" s="1"/>
  <c r="L162" i="5"/>
  <c r="N162" i="5" s="1"/>
  <c r="P162" i="5" s="1"/>
  <c r="R162" i="5" s="1"/>
  <c r="L17" i="5"/>
  <c r="N17" i="5" s="1"/>
  <c r="P17" i="5" s="1"/>
  <c r="R17" i="5" s="1"/>
  <c r="L201" i="5"/>
  <c r="N201" i="5" s="1"/>
  <c r="P201" i="5" s="1"/>
  <c r="R201" i="5" s="1"/>
  <c r="L131" i="5"/>
  <c r="N131" i="5" s="1"/>
  <c r="P131" i="5" s="1"/>
  <c r="R131" i="5" s="1"/>
  <c r="L73" i="5"/>
  <c r="N73" i="5" s="1"/>
  <c r="P73" i="5" s="1"/>
  <c r="R73" i="5" s="1"/>
  <c r="L232" i="5"/>
  <c r="N232" i="5" s="1"/>
  <c r="P232" i="5" s="1"/>
  <c r="R232" i="5" s="1"/>
  <c r="L160" i="5"/>
  <c r="N160" i="5" s="1"/>
  <c r="P160" i="5" s="1"/>
  <c r="R160" i="5" s="1"/>
  <c r="L207" i="5"/>
  <c r="N207" i="5" s="1"/>
  <c r="P207" i="5" s="1"/>
  <c r="R207" i="5" s="1"/>
  <c r="L172" i="5"/>
  <c r="N172" i="5" s="1"/>
  <c r="P172" i="5" s="1"/>
  <c r="R172" i="5" s="1"/>
  <c r="L261" i="5"/>
  <c r="N261" i="5" s="1"/>
  <c r="P261" i="5" s="1"/>
  <c r="R261" i="5" s="1"/>
  <c r="L240" i="5"/>
  <c r="N240" i="5" s="1"/>
  <c r="P240" i="5" s="1"/>
  <c r="R240" i="5" s="1"/>
  <c r="L122" i="5"/>
  <c r="N122" i="5" s="1"/>
  <c r="P122" i="5" s="1"/>
  <c r="R122" i="5" s="1"/>
  <c r="L258" i="5"/>
  <c r="N258" i="5" s="1"/>
  <c r="P258" i="5" s="1"/>
  <c r="R258" i="5" s="1"/>
  <c r="L227" i="5"/>
  <c r="N227" i="5" s="1"/>
  <c r="P227" i="5" s="1"/>
  <c r="R227" i="5" s="1"/>
  <c r="L42" i="5"/>
  <c r="N42" i="5" s="1"/>
  <c r="P42" i="5" s="1"/>
  <c r="R42" i="5" s="1"/>
  <c r="L153" i="5"/>
  <c r="N153" i="5" s="1"/>
  <c r="P153" i="5" s="1"/>
  <c r="R153" i="5" s="1"/>
  <c r="L64" i="5"/>
  <c r="N64" i="5" s="1"/>
  <c r="P64" i="5" s="1"/>
  <c r="R64" i="5" s="1"/>
  <c r="L100" i="5"/>
  <c r="N100" i="5" s="1"/>
  <c r="P100" i="5" s="1"/>
  <c r="R100" i="5" s="1"/>
  <c r="L134" i="5"/>
  <c r="N134" i="5" s="1"/>
  <c r="P134" i="5" s="1"/>
  <c r="R134" i="5" s="1"/>
  <c r="L18" i="5"/>
  <c r="N18" i="5" s="1"/>
  <c r="P18" i="5" s="1"/>
  <c r="R18" i="5" s="1"/>
  <c r="L194" i="5"/>
  <c r="N194" i="5" s="1"/>
  <c r="P194" i="5" s="1"/>
  <c r="R194" i="5" s="1"/>
  <c r="L23" i="5"/>
  <c r="N23" i="5" s="1"/>
  <c r="P23" i="5" s="1"/>
  <c r="R23" i="5" s="1"/>
  <c r="L35" i="5"/>
  <c r="N35" i="5" s="1"/>
  <c r="P35" i="5" s="1"/>
  <c r="R35" i="5" s="1"/>
  <c r="L66" i="5"/>
  <c r="N66" i="5" s="1"/>
  <c r="P66" i="5" s="1"/>
  <c r="R66" i="5" s="1"/>
  <c r="L84" i="5"/>
  <c r="N84" i="5" s="1"/>
  <c r="P84" i="5" s="1"/>
  <c r="R84" i="5" s="1"/>
  <c r="L102" i="5"/>
  <c r="N102" i="5" s="1"/>
  <c r="P102" i="5" s="1"/>
  <c r="R102" i="5" s="1"/>
  <c r="L159" i="5"/>
  <c r="N159" i="5" s="1"/>
  <c r="P159" i="5" s="1"/>
  <c r="R159" i="5" s="1"/>
  <c r="L54" i="5"/>
  <c r="N54" i="5" s="1"/>
  <c r="P54" i="5" s="1"/>
  <c r="R54" i="5" s="1"/>
  <c r="L97" i="5"/>
  <c r="N97" i="5" s="1"/>
  <c r="P97" i="5" s="1"/>
  <c r="R97" i="5" s="1"/>
  <c r="L45" i="5"/>
  <c r="N45" i="5" s="1"/>
  <c r="P45" i="5" s="1"/>
  <c r="R45" i="5" s="1"/>
  <c r="L176" i="5"/>
  <c r="N176" i="5" s="1"/>
  <c r="P176" i="5" s="1"/>
  <c r="R176" i="5" s="1"/>
  <c r="L168" i="5"/>
  <c r="N168" i="5" s="1"/>
  <c r="P168" i="5" s="1"/>
  <c r="R168" i="5" s="1"/>
  <c r="L199" i="5"/>
  <c r="N199" i="5" s="1"/>
  <c r="P199" i="5" s="1"/>
  <c r="R199" i="5" s="1"/>
  <c r="L184" i="5"/>
  <c r="N184" i="5" s="1"/>
  <c r="P184" i="5" s="1"/>
  <c r="R184" i="5" s="1"/>
  <c r="L36" i="5"/>
  <c r="N36" i="5" s="1"/>
  <c r="P36" i="5" s="1"/>
  <c r="R36" i="5" s="1"/>
  <c r="L225" i="5"/>
  <c r="N225" i="5" s="1"/>
  <c r="P225" i="5" s="1"/>
  <c r="R225" i="5" s="1"/>
  <c r="L190" i="5"/>
  <c r="N190" i="5" s="1"/>
  <c r="P190" i="5" s="1"/>
  <c r="R190" i="5" s="1"/>
  <c r="L79" i="5"/>
  <c r="N79" i="5" s="1"/>
  <c r="P79" i="5" s="1"/>
  <c r="R79" i="5" s="1"/>
  <c r="L250" i="5"/>
  <c r="N250" i="5" s="1"/>
  <c r="P250" i="5" s="1"/>
  <c r="R250" i="5" s="1"/>
  <c r="L165" i="5"/>
  <c r="N165" i="5" s="1"/>
  <c r="P165" i="5" s="1"/>
  <c r="R165" i="5" s="1"/>
  <c r="L224" i="5"/>
  <c r="N224" i="5" s="1"/>
  <c r="P224" i="5" s="1"/>
  <c r="R224" i="5" s="1"/>
  <c r="L220" i="5"/>
  <c r="N220" i="5" s="1"/>
  <c r="P220" i="5" s="1"/>
  <c r="R220" i="5" s="1"/>
  <c r="L205" i="5"/>
  <c r="N205" i="5" s="1"/>
  <c r="P205" i="5" s="1"/>
  <c r="R205" i="5" s="1"/>
  <c r="L259" i="5"/>
  <c r="N259" i="5" s="1"/>
  <c r="P259" i="5" s="1"/>
  <c r="R259" i="5" s="1"/>
  <c r="L142" i="5"/>
  <c r="N142" i="5" s="1"/>
  <c r="P142" i="5" s="1"/>
  <c r="R142" i="5" s="1"/>
  <c r="L246" i="5"/>
  <c r="N246" i="5" s="1"/>
  <c r="P246" i="5" s="1"/>
  <c r="R246" i="5" s="1"/>
  <c r="L50" i="5"/>
  <c r="N50" i="5" s="1"/>
  <c r="P50" i="5" s="1"/>
  <c r="R50" i="5" s="1"/>
  <c r="L70" i="5"/>
  <c r="N70" i="5" s="1"/>
  <c r="P70" i="5" s="1"/>
  <c r="R70" i="5" s="1"/>
  <c r="L107" i="5"/>
  <c r="N107" i="5" s="1"/>
  <c r="P107" i="5" s="1"/>
  <c r="R107" i="5" s="1"/>
  <c r="L154" i="5"/>
  <c r="N154" i="5" s="1"/>
  <c r="P154" i="5" s="1"/>
  <c r="R154" i="5" s="1"/>
  <c r="L21" i="5"/>
  <c r="N21" i="5" s="1"/>
  <c r="P21" i="5" s="1"/>
  <c r="R21" i="5" s="1"/>
  <c r="L222" i="5"/>
  <c r="N222" i="5" s="1"/>
  <c r="P222" i="5" s="1"/>
  <c r="R222" i="5" s="1"/>
  <c r="L141" i="5"/>
  <c r="N141" i="5" s="1"/>
  <c r="P141" i="5" s="1"/>
  <c r="R141" i="5" s="1"/>
  <c r="L32" i="5"/>
  <c r="L41" i="5"/>
  <c r="N41" i="5" s="1"/>
  <c r="P41" i="5" s="1"/>
  <c r="R41" i="5" s="1"/>
  <c r="L87" i="5"/>
  <c r="N87" i="5" s="1"/>
  <c r="P87" i="5" s="1"/>
  <c r="R87" i="5" s="1"/>
  <c r="L106" i="5"/>
  <c r="N106" i="5" s="1"/>
  <c r="P106" i="5" s="1"/>
  <c r="R106" i="5" s="1"/>
  <c r="L181" i="5"/>
  <c r="N181" i="5" s="1"/>
  <c r="P181" i="5" s="1"/>
  <c r="R181" i="5" s="1"/>
  <c r="L124" i="5"/>
  <c r="N124" i="5" s="1"/>
  <c r="P124" i="5" s="1"/>
  <c r="R124" i="5" s="1"/>
  <c r="L92" i="5"/>
  <c r="N92" i="5" s="1"/>
  <c r="P92" i="5" s="1"/>
  <c r="R92" i="5" s="1"/>
  <c r="L235" i="5"/>
  <c r="N235" i="5" s="1"/>
  <c r="P235" i="5" s="1"/>
  <c r="R235" i="5" s="1"/>
  <c r="L85" i="5"/>
  <c r="N85" i="5" s="1"/>
  <c r="P85" i="5" s="1"/>
  <c r="R85" i="5" s="1"/>
  <c r="L183" i="5"/>
  <c r="N183" i="5" s="1"/>
  <c r="P183" i="5" s="1"/>
  <c r="R183" i="5" s="1"/>
  <c r="L228" i="5"/>
  <c r="N228" i="5" s="1"/>
  <c r="P228" i="5" s="1"/>
  <c r="R228" i="5" s="1"/>
  <c r="L215" i="5"/>
  <c r="N215" i="5" s="1"/>
  <c r="P215" i="5" s="1"/>
  <c r="R215" i="5" s="1"/>
  <c r="L166" i="5"/>
  <c r="N166" i="5" s="1"/>
  <c r="P166" i="5" s="1"/>
  <c r="R166" i="5" s="1"/>
  <c r="L218" i="5"/>
  <c r="N218" i="5" s="1"/>
  <c r="P218" i="5" s="1"/>
  <c r="R218" i="5" s="1"/>
  <c r="R264" i="3"/>
  <c r="T144" i="3" s="1"/>
  <c r="D144" i="1" s="1"/>
  <c r="C69" i="1"/>
  <c r="W264" i="3"/>
  <c r="AA264" i="3" s="1"/>
  <c r="AD264" i="3" s="1"/>
  <c r="J264" i="7" s="1"/>
  <c r="H264" i="5"/>
  <c r="F144" i="1" l="1"/>
  <c r="H144" i="1" s="1"/>
  <c r="N144" i="5"/>
  <c r="N32" i="5"/>
  <c r="P32" i="5" s="1"/>
  <c r="R32" i="5" s="1"/>
  <c r="F186" i="1"/>
  <c r="F166" i="1"/>
  <c r="F215" i="1"/>
  <c r="F145" i="1"/>
  <c r="F214" i="1"/>
  <c r="F162" i="1"/>
  <c r="F249" i="1"/>
  <c r="F153" i="1"/>
  <c r="F176" i="1"/>
  <c r="F246" i="1"/>
  <c r="F227" i="1"/>
  <c r="F203" i="1"/>
  <c r="F258" i="1"/>
  <c r="F147" i="1"/>
  <c r="F163" i="1"/>
  <c r="F239" i="1"/>
  <c r="F161" i="1"/>
  <c r="F181" i="1"/>
  <c r="F261" i="1"/>
  <c r="F211" i="1"/>
  <c r="F234" i="1"/>
  <c r="F254" i="1"/>
  <c r="F229" i="1"/>
  <c r="F230" i="1"/>
  <c r="F173" i="1"/>
  <c r="F226" i="1"/>
  <c r="F171" i="1"/>
  <c r="F169" i="1"/>
  <c r="F195" i="1"/>
  <c r="F248" i="1"/>
  <c r="F154" i="1"/>
  <c r="F170" i="1"/>
  <c r="F228" i="1"/>
  <c r="F242" i="1"/>
  <c r="F149" i="1"/>
  <c r="F224" i="1"/>
  <c r="F236" i="1"/>
  <c r="F237" i="1"/>
  <c r="F213" i="1"/>
  <c r="F260" i="1"/>
  <c r="F201" i="1"/>
  <c r="F217" i="1"/>
  <c r="F184" i="1"/>
  <c r="F164" i="1"/>
  <c r="F168" i="1"/>
  <c r="F182" i="1"/>
  <c r="F151" i="1"/>
  <c r="F158" i="1"/>
  <c r="F252" i="1"/>
  <c r="F206" i="1"/>
  <c r="F235" i="1"/>
  <c r="F152" i="1"/>
  <c r="F146" i="1"/>
  <c r="F259" i="1"/>
  <c r="F240" i="1"/>
  <c r="F177" i="1"/>
  <c r="F178" i="1"/>
  <c r="F216" i="1"/>
  <c r="F193" i="1"/>
  <c r="F185" i="1"/>
  <c r="F148" i="1"/>
  <c r="F244" i="1"/>
  <c r="F200" i="1"/>
  <c r="F150" i="1"/>
  <c r="F243" i="1"/>
  <c r="F250" i="1"/>
  <c r="F196" i="1"/>
  <c r="F192" i="1"/>
  <c r="F156" i="1"/>
  <c r="F221" i="1"/>
  <c r="F238" i="1"/>
  <c r="F257" i="1"/>
  <c r="F190" i="1"/>
  <c r="F194" i="1"/>
  <c r="F187" i="1"/>
  <c r="F198" i="1"/>
  <c r="F245" i="1"/>
  <c r="F208" i="1"/>
  <c r="F223" i="1"/>
  <c r="F199" i="1"/>
  <c r="F188" i="1"/>
  <c r="F183" i="1"/>
  <c r="F179" i="1"/>
  <c r="F175" i="1"/>
  <c r="F247" i="1"/>
  <c r="F241" i="1"/>
  <c r="F255" i="1"/>
  <c r="F191" i="1"/>
  <c r="F210" i="1"/>
  <c r="F233" i="1"/>
  <c r="F205" i="1"/>
  <c r="F159" i="1"/>
  <c r="F231" i="1"/>
  <c r="F253" i="1"/>
  <c r="F174" i="1"/>
  <c r="F197" i="1"/>
  <c r="F220" i="1"/>
  <c r="F219" i="1"/>
  <c r="F251" i="1"/>
  <c r="F172" i="1"/>
  <c r="F209" i="1"/>
  <c r="F157" i="1"/>
  <c r="F165" i="1"/>
  <c r="F207" i="1"/>
  <c r="F202" i="1"/>
  <c r="F167" i="1"/>
  <c r="F160" i="1"/>
  <c r="F204" i="1"/>
  <c r="F256" i="1"/>
  <c r="F232" i="1"/>
  <c r="F155" i="1"/>
  <c r="F218" i="1"/>
  <c r="F222" i="1"/>
  <c r="F225" i="1"/>
  <c r="F189" i="1"/>
  <c r="F180" i="1"/>
  <c r="F212" i="1"/>
  <c r="T31" i="3"/>
  <c r="D31" i="1" s="1"/>
  <c r="H31" i="1" s="1"/>
  <c r="J31" i="1" s="1"/>
  <c r="L31" i="1" s="1"/>
  <c r="T58" i="3"/>
  <c r="D58" i="1" s="1"/>
  <c r="V228" i="5"/>
  <c r="V139" i="5"/>
  <c r="T31" i="5"/>
  <c r="F139" i="1"/>
  <c r="T5" i="3"/>
  <c r="T157" i="3"/>
  <c r="D157" i="1" s="1"/>
  <c r="C262" i="1"/>
  <c r="F140" i="1"/>
  <c r="F143" i="1"/>
  <c r="V143" i="5"/>
  <c r="F105" i="1"/>
  <c r="F142" i="1"/>
  <c r="V142" i="5"/>
  <c r="F141" i="1"/>
  <c r="V141" i="5"/>
  <c r="F138" i="1"/>
  <c r="V138" i="5"/>
  <c r="T138" i="3"/>
  <c r="D138" i="1" s="1"/>
  <c r="T139" i="3"/>
  <c r="D139" i="1" s="1"/>
  <c r="T105" i="3"/>
  <c r="D105" i="1" s="1"/>
  <c r="F126" i="1"/>
  <c r="G262" i="2"/>
  <c r="T207" i="3"/>
  <c r="D207" i="1" s="1"/>
  <c r="T201" i="3"/>
  <c r="D201" i="1" s="1"/>
  <c r="T208" i="3"/>
  <c r="D208" i="1" s="1"/>
  <c r="T30" i="3"/>
  <c r="D30" i="1" s="1"/>
  <c r="T12" i="3"/>
  <c r="D12" i="1" s="1"/>
  <c r="T27" i="3"/>
  <c r="D27" i="1" s="1"/>
  <c r="T40" i="3"/>
  <c r="D40" i="1" s="1"/>
  <c r="T24" i="3"/>
  <c r="D24" i="1" s="1"/>
  <c r="T8" i="3"/>
  <c r="D8" i="1" s="1"/>
  <c r="T118" i="3"/>
  <c r="D118" i="1" s="1"/>
  <c r="T52" i="3"/>
  <c r="D52" i="1" s="1"/>
  <c r="T98" i="3"/>
  <c r="D98" i="1" s="1"/>
  <c r="T128" i="3"/>
  <c r="D128" i="1" s="1"/>
  <c r="T114" i="3"/>
  <c r="D114" i="1" s="1"/>
  <c r="T123" i="3"/>
  <c r="D123" i="1" s="1"/>
  <c r="T132" i="3"/>
  <c r="D132" i="1" s="1"/>
  <c r="T205" i="3"/>
  <c r="D205" i="1" s="1"/>
  <c r="T18" i="3"/>
  <c r="D18" i="1" s="1"/>
  <c r="T15" i="3"/>
  <c r="D15" i="1" s="1"/>
  <c r="T29" i="3"/>
  <c r="D29" i="1" s="1"/>
  <c r="T42" i="3"/>
  <c r="D42" i="1" s="1"/>
  <c r="T33" i="3"/>
  <c r="D33" i="1" s="1"/>
  <c r="T11" i="3"/>
  <c r="D11" i="1" s="1"/>
  <c r="T54" i="3"/>
  <c r="D54" i="1" s="1"/>
  <c r="T104" i="3"/>
  <c r="D104" i="1" s="1"/>
  <c r="T56" i="3"/>
  <c r="D56" i="1" s="1"/>
  <c r="T120" i="3"/>
  <c r="D120" i="1" s="1"/>
  <c r="T170" i="3"/>
  <c r="D170" i="1" s="1"/>
  <c r="T20" i="3"/>
  <c r="D20" i="1" s="1"/>
  <c r="T17" i="3"/>
  <c r="D17" i="1" s="1"/>
  <c r="T32" i="3"/>
  <c r="D32" i="1" s="1"/>
  <c r="T44" i="3"/>
  <c r="D44" i="1" s="1"/>
  <c r="T37" i="3"/>
  <c r="D37" i="1" s="1"/>
  <c r="T14" i="3"/>
  <c r="D14" i="1" s="1"/>
  <c r="T125" i="3"/>
  <c r="D125" i="1" s="1"/>
  <c r="T55" i="3"/>
  <c r="D55" i="1" s="1"/>
  <c r="T111" i="3"/>
  <c r="D111" i="1" s="1"/>
  <c r="T45" i="3"/>
  <c r="D45" i="1" s="1"/>
  <c r="T122" i="3"/>
  <c r="D122" i="1" s="1"/>
  <c r="T126" i="3"/>
  <c r="D126" i="1" s="1"/>
  <c r="T135" i="3"/>
  <c r="D135" i="1" s="1"/>
  <c r="T26" i="3"/>
  <c r="D26" i="1" s="1"/>
  <c r="T19" i="3"/>
  <c r="D19" i="1" s="1"/>
  <c r="T34" i="3"/>
  <c r="D34" i="1" s="1"/>
  <c r="T7" i="3"/>
  <c r="D7" i="1" s="1"/>
  <c r="T39" i="3"/>
  <c r="D39" i="1" s="1"/>
  <c r="T46" i="3"/>
  <c r="D46" i="1" s="1"/>
  <c r="T57" i="3"/>
  <c r="D57" i="1" s="1"/>
  <c r="T117" i="3"/>
  <c r="D117" i="1" s="1"/>
  <c r="T200" i="3"/>
  <c r="D200" i="1" s="1"/>
  <c r="T131" i="3"/>
  <c r="D131" i="1" s="1"/>
  <c r="T134" i="3"/>
  <c r="D134" i="1" s="1"/>
  <c r="T47" i="3"/>
  <c r="D47" i="1" s="1"/>
  <c r="T60" i="3"/>
  <c r="D60" i="1" s="1"/>
  <c r="T179" i="3"/>
  <c r="D179" i="1" s="1"/>
  <c r="T188" i="3"/>
  <c r="D188" i="1" s="1"/>
  <c r="T173" i="3"/>
  <c r="D173" i="1" s="1"/>
  <c r="T215" i="3"/>
  <c r="D215" i="1" s="1"/>
  <c r="T6" i="3"/>
  <c r="D6" i="1" s="1"/>
  <c r="T21" i="3"/>
  <c r="D21" i="1" s="1"/>
  <c r="T36" i="3"/>
  <c r="D36" i="1" s="1"/>
  <c r="T10" i="3"/>
  <c r="D10" i="1" s="1"/>
  <c r="T43" i="3"/>
  <c r="D43" i="1" s="1"/>
  <c r="T48" i="3"/>
  <c r="D48" i="1" s="1"/>
  <c r="T59" i="3"/>
  <c r="D59" i="1" s="1"/>
  <c r="T51" i="3"/>
  <c r="D51" i="1" s="1"/>
  <c r="T101" i="3"/>
  <c r="D101" i="1" s="1"/>
  <c r="T129" i="3"/>
  <c r="D129" i="1" s="1"/>
  <c r="T206" i="3"/>
  <c r="D206" i="1" s="1"/>
  <c r="T223" i="3"/>
  <c r="D223" i="1" s="1"/>
  <c r="T222" i="3"/>
  <c r="D222" i="1" s="1"/>
  <c r="T219" i="3"/>
  <c r="D219" i="1" s="1"/>
  <c r="T182" i="3"/>
  <c r="D182" i="1" s="1"/>
  <c r="T9" i="3"/>
  <c r="D9" i="1" s="1"/>
  <c r="T23" i="3"/>
  <c r="D23" i="1" s="1"/>
  <c r="T38" i="3"/>
  <c r="D38" i="1" s="1"/>
  <c r="T13" i="3"/>
  <c r="D13" i="1" s="1"/>
  <c r="T49" i="3"/>
  <c r="D49" i="1" s="1"/>
  <c r="T50" i="3"/>
  <c r="D50" i="1" s="1"/>
  <c r="T61" i="3"/>
  <c r="D61" i="1" s="1"/>
  <c r="T53" i="3"/>
  <c r="D53" i="1" s="1"/>
  <c r="T108" i="3"/>
  <c r="D108" i="1" s="1"/>
  <c r="T199" i="3"/>
  <c r="D199" i="1" s="1"/>
  <c r="T191" i="3"/>
  <c r="D191" i="1" s="1"/>
  <c r="T227" i="3"/>
  <c r="D227" i="1" s="1"/>
  <c r="T197" i="3"/>
  <c r="D197" i="1" s="1"/>
  <c r="T137" i="3"/>
  <c r="D137" i="1" s="1"/>
  <c r="T184" i="3"/>
  <c r="D184" i="1" s="1"/>
  <c r="T192" i="3"/>
  <c r="D192" i="1" s="1"/>
  <c r="T85" i="3"/>
  <c r="D85" i="1" s="1"/>
  <c r="T248" i="3"/>
  <c r="D248" i="1" s="1"/>
  <c r="T221" i="3"/>
  <c r="D221" i="1" s="1"/>
  <c r="T250" i="3"/>
  <c r="D250" i="1" s="1"/>
  <c r="T181" i="3"/>
  <c r="D181" i="1" s="1"/>
  <c r="T261" i="3"/>
  <c r="D261" i="1" s="1"/>
  <c r="T244" i="3"/>
  <c r="D244" i="1" s="1"/>
  <c r="T217" i="3"/>
  <c r="D217" i="1" s="1"/>
  <c r="T153" i="3"/>
  <c r="D153" i="1" s="1"/>
  <c r="T90" i="3"/>
  <c r="D90" i="1" s="1"/>
  <c r="T92" i="3"/>
  <c r="D92" i="1" s="1"/>
  <c r="T190" i="3"/>
  <c r="D190" i="1" s="1"/>
  <c r="T99" i="3"/>
  <c r="D99" i="1" s="1"/>
  <c r="T88" i="3"/>
  <c r="D88" i="1" s="1"/>
  <c r="T25" i="3"/>
  <c r="D25" i="1" s="1"/>
  <c r="T177" i="3"/>
  <c r="D177" i="1" s="1"/>
  <c r="T87" i="3"/>
  <c r="D87" i="1" s="1"/>
  <c r="T95" i="3"/>
  <c r="D95" i="1" s="1"/>
  <c r="T112" i="3"/>
  <c r="D112" i="1" s="1"/>
  <c r="T143" i="3"/>
  <c r="D143" i="1" s="1"/>
  <c r="T220" i="3"/>
  <c r="D220" i="1" s="1"/>
  <c r="T127" i="3"/>
  <c r="D127" i="1" s="1"/>
  <c r="T102" i="3"/>
  <c r="D102" i="1" s="1"/>
  <c r="T171" i="3"/>
  <c r="D171" i="1" s="1"/>
  <c r="T159" i="3"/>
  <c r="D159" i="1" s="1"/>
  <c r="T228" i="3"/>
  <c r="D228" i="1" s="1"/>
  <c r="T167" i="3"/>
  <c r="D167" i="1" s="1"/>
  <c r="T151" i="3"/>
  <c r="D151" i="1" s="1"/>
  <c r="T116" i="3"/>
  <c r="D116" i="1" s="1"/>
  <c r="T69" i="3"/>
  <c r="D69" i="1" s="1"/>
  <c r="T251" i="3"/>
  <c r="D251" i="1" s="1"/>
  <c r="T103" i="3"/>
  <c r="D103" i="1" s="1"/>
  <c r="T149" i="3"/>
  <c r="D149" i="1" s="1"/>
  <c r="T242" i="3"/>
  <c r="D242" i="1" s="1"/>
  <c r="T79" i="3"/>
  <c r="D79" i="1" s="1"/>
  <c r="T231" i="3"/>
  <c r="D231" i="1" s="1"/>
  <c r="T176" i="3"/>
  <c r="D176" i="1" s="1"/>
  <c r="T245" i="3"/>
  <c r="D245" i="1" s="1"/>
  <c r="T163" i="3"/>
  <c r="D163" i="1" s="1"/>
  <c r="T258" i="3"/>
  <c r="D258" i="1" s="1"/>
  <c r="T241" i="3"/>
  <c r="D241" i="1" s="1"/>
  <c r="T193" i="3"/>
  <c r="D193" i="1" s="1"/>
  <c r="T168" i="3"/>
  <c r="D168" i="1" s="1"/>
  <c r="T216" i="3"/>
  <c r="D216" i="1" s="1"/>
  <c r="T84" i="3"/>
  <c r="D84" i="1" s="1"/>
  <c r="T86" i="3"/>
  <c r="D86" i="1" s="1"/>
  <c r="T28" i="3"/>
  <c r="D28" i="1" s="1"/>
  <c r="T172" i="3"/>
  <c r="D172" i="1" s="1"/>
  <c r="T243" i="3"/>
  <c r="D243" i="1" s="1"/>
  <c r="T160" i="3"/>
  <c r="D160" i="1" s="1"/>
  <c r="T82" i="3"/>
  <c r="D82" i="1" s="1"/>
  <c r="T254" i="3"/>
  <c r="D254" i="1" s="1"/>
  <c r="T81" i="3"/>
  <c r="D81" i="1" s="1"/>
  <c r="T89" i="3"/>
  <c r="D89" i="1" s="1"/>
  <c r="T224" i="3"/>
  <c r="D224" i="1" s="1"/>
  <c r="T169" i="3"/>
  <c r="D169" i="1" s="1"/>
  <c r="T152" i="3"/>
  <c r="D152" i="1" s="1"/>
  <c r="T35" i="3"/>
  <c r="D35" i="1" s="1"/>
  <c r="T238" i="3"/>
  <c r="D238" i="1" s="1"/>
  <c r="T80" i="3"/>
  <c r="D80" i="1" s="1"/>
  <c r="T194" i="3"/>
  <c r="D194" i="1" s="1"/>
  <c r="T145" i="3"/>
  <c r="D145" i="1" s="1"/>
  <c r="T109" i="3"/>
  <c r="D109" i="1" s="1"/>
  <c r="T76" i="3"/>
  <c r="D76" i="1" s="1"/>
  <c r="T185" i="3"/>
  <c r="D185" i="1" s="1"/>
  <c r="T75" i="3"/>
  <c r="D75" i="1" s="1"/>
  <c r="T257" i="3"/>
  <c r="D257" i="1" s="1"/>
  <c r="T174" i="3"/>
  <c r="D174" i="1" s="1"/>
  <c r="T211" i="3"/>
  <c r="D211" i="1" s="1"/>
  <c r="T16" i="3"/>
  <c r="D16" i="1" s="1"/>
  <c r="T180" i="3"/>
  <c r="D180" i="1" s="1"/>
  <c r="T162" i="3"/>
  <c r="D162" i="1" s="1"/>
  <c r="T67" i="3"/>
  <c r="D67" i="1" s="1"/>
  <c r="T218" i="3"/>
  <c r="D218" i="1" s="1"/>
  <c r="T252" i="3"/>
  <c r="D252" i="1" s="1"/>
  <c r="T133" i="3"/>
  <c r="D133" i="1" s="1"/>
  <c r="T74" i="3"/>
  <c r="D74" i="1" s="1"/>
  <c r="T155" i="3"/>
  <c r="D155" i="1" s="1"/>
  <c r="T70" i="3"/>
  <c r="D70" i="1" s="1"/>
  <c r="T203" i="3"/>
  <c r="D203" i="1" s="1"/>
  <c r="T240" i="3"/>
  <c r="D240" i="1" s="1"/>
  <c r="T154" i="3"/>
  <c r="D154" i="1" s="1"/>
  <c r="T97" i="3"/>
  <c r="D97" i="1" s="1"/>
  <c r="T158" i="3"/>
  <c r="D158" i="1" s="1"/>
  <c r="T249" i="3"/>
  <c r="D249" i="1" s="1"/>
  <c r="T232" i="3"/>
  <c r="D232" i="1" s="1"/>
  <c r="T124" i="3"/>
  <c r="D124" i="1" s="1"/>
  <c r="T115" i="3"/>
  <c r="D115" i="1" s="1"/>
  <c r="T68" i="3"/>
  <c r="D68" i="1" s="1"/>
  <c r="T150" i="3"/>
  <c r="D150" i="1" s="1"/>
  <c r="T147" i="3"/>
  <c r="D147" i="1" s="1"/>
  <c r="T22" i="3"/>
  <c r="D22" i="1" s="1"/>
  <c r="T204" i="3"/>
  <c r="D204" i="1" s="1"/>
  <c r="T63" i="3"/>
  <c r="D63" i="1" s="1"/>
  <c r="T237" i="3"/>
  <c r="D237" i="1" s="1"/>
  <c r="T146" i="3"/>
  <c r="D146" i="1" s="1"/>
  <c r="T214" i="3"/>
  <c r="D214" i="1" s="1"/>
  <c r="T178" i="3"/>
  <c r="D178" i="1" s="1"/>
  <c r="T202" i="3"/>
  <c r="D202" i="1" s="1"/>
  <c r="T91" i="3"/>
  <c r="D91" i="1" s="1"/>
  <c r="T195" i="3"/>
  <c r="D195" i="1" s="1"/>
  <c r="T226" i="3"/>
  <c r="D226" i="1" s="1"/>
  <c r="T96" i="3"/>
  <c r="D96" i="1" s="1"/>
  <c r="T62" i="3"/>
  <c r="D62" i="1" s="1"/>
  <c r="T212" i="3"/>
  <c r="D212" i="1" s="1"/>
  <c r="T100" i="3"/>
  <c r="D100" i="1" s="1"/>
  <c r="T130" i="3"/>
  <c r="D130" i="1" s="1"/>
  <c r="T110" i="3"/>
  <c r="D110" i="1" s="1"/>
  <c r="T93" i="3"/>
  <c r="D93" i="1" s="1"/>
  <c r="T65" i="3"/>
  <c r="D65" i="1" s="1"/>
  <c r="T236" i="3"/>
  <c r="D236" i="1" s="1"/>
  <c r="T209" i="3"/>
  <c r="D209" i="1" s="1"/>
  <c r="T189" i="3"/>
  <c r="D189" i="1" s="1"/>
  <c r="T107" i="3"/>
  <c r="D107" i="1" s="1"/>
  <c r="T73" i="3"/>
  <c r="D73" i="1" s="1"/>
  <c r="T187" i="3"/>
  <c r="D187" i="1" s="1"/>
  <c r="T239" i="3"/>
  <c r="D239" i="1" s="1"/>
  <c r="T255" i="3"/>
  <c r="D255" i="1" s="1"/>
  <c r="T175" i="3"/>
  <c r="D175" i="1" s="1"/>
  <c r="T141" i="3"/>
  <c r="D141" i="1" s="1"/>
  <c r="T78" i="3"/>
  <c r="D78" i="1" s="1"/>
  <c r="T119" i="3"/>
  <c r="D119" i="1" s="1"/>
  <c r="T225" i="3"/>
  <c r="D225" i="1" s="1"/>
  <c r="T246" i="3"/>
  <c r="D246" i="1" s="1"/>
  <c r="T83" i="3"/>
  <c r="D83" i="1" s="1"/>
  <c r="T156" i="3"/>
  <c r="D156" i="1" s="1"/>
  <c r="T166" i="3"/>
  <c r="D166" i="1" s="1"/>
  <c r="T198" i="3"/>
  <c r="D198" i="1" s="1"/>
  <c r="T106" i="3"/>
  <c r="D106" i="1" s="1"/>
  <c r="T233" i="3"/>
  <c r="D233" i="1" s="1"/>
  <c r="T235" i="3"/>
  <c r="D235" i="1" s="1"/>
  <c r="T72" i="3"/>
  <c r="D72" i="1" s="1"/>
  <c r="T210" i="3"/>
  <c r="D210" i="1" s="1"/>
  <c r="T41" i="3"/>
  <c r="D41" i="1" s="1"/>
  <c r="T234" i="3"/>
  <c r="D234" i="1" s="1"/>
  <c r="T77" i="3"/>
  <c r="D77" i="1" s="1"/>
  <c r="T256" i="3"/>
  <c r="D256" i="1" s="1"/>
  <c r="T196" i="3"/>
  <c r="D196" i="1" s="1"/>
  <c r="T229" i="3"/>
  <c r="D229" i="1" s="1"/>
  <c r="T259" i="3"/>
  <c r="D259" i="1" s="1"/>
  <c r="T213" i="3"/>
  <c r="D213" i="1" s="1"/>
  <c r="T161" i="3"/>
  <c r="D161" i="1" s="1"/>
  <c r="T66" i="3"/>
  <c r="D66" i="1" s="1"/>
  <c r="T183" i="3"/>
  <c r="D183" i="1" s="1"/>
  <c r="T64" i="3"/>
  <c r="D64" i="1" s="1"/>
  <c r="T121" i="3"/>
  <c r="D121" i="1" s="1"/>
  <c r="T71" i="3"/>
  <c r="D71" i="1" s="1"/>
  <c r="T247" i="3"/>
  <c r="D247" i="1" s="1"/>
  <c r="T148" i="3"/>
  <c r="D148" i="1" s="1"/>
  <c r="T140" i="3"/>
  <c r="D140" i="1" s="1"/>
  <c r="T260" i="3"/>
  <c r="D260" i="1" s="1"/>
  <c r="T253" i="3"/>
  <c r="D253" i="1" s="1"/>
  <c r="T186" i="3"/>
  <c r="D186" i="1" s="1"/>
  <c r="T230" i="3"/>
  <c r="D230" i="1" s="1"/>
  <c r="T94" i="3"/>
  <c r="D94" i="1" s="1"/>
  <c r="T142" i="3"/>
  <c r="D142" i="1" s="1"/>
  <c r="T113" i="3"/>
  <c r="D113" i="1" s="1"/>
  <c r="T165" i="3"/>
  <c r="D165" i="1" s="1"/>
  <c r="T136" i="3"/>
  <c r="D136" i="1" s="1"/>
  <c r="T164" i="3"/>
  <c r="D164" i="1" s="1"/>
  <c r="V64" i="5"/>
  <c r="V99" i="5"/>
  <c r="V51" i="5"/>
  <c r="V129" i="5"/>
  <c r="V72" i="5"/>
  <c r="V117" i="5"/>
  <c r="V13" i="5"/>
  <c r="V6" i="5"/>
  <c r="V43" i="5"/>
  <c r="V125" i="5"/>
  <c r="V11" i="5"/>
  <c r="V9" i="5"/>
  <c r="V87" i="5"/>
  <c r="V124" i="5"/>
  <c r="V50" i="5"/>
  <c r="V36" i="5"/>
  <c r="V97" i="5"/>
  <c r="V35" i="5"/>
  <c r="V100" i="5"/>
  <c r="V122" i="5"/>
  <c r="V119" i="5"/>
  <c r="V8" i="5"/>
  <c r="V60" i="5"/>
  <c r="V118" i="5"/>
  <c r="V48" i="5"/>
  <c r="V111" i="5"/>
  <c r="V56" i="5"/>
  <c r="V15" i="5"/>
  <c r="V33" i="5"/>
  <c r="V90" i="5"/>
  <c r="V25" i="5"/>
  <c r="V103" i="5"/>
  <c r="V10" i="5"/>
  <c r="V77" i="5"/>
  <c r="V114" i="5"/>
  <c r="V49" i="5"/>
  <c r="V135" i="5"/>
  <c r="V85" i="5"/>
  <c r="V23" i="5"/>
  <c r="V44" i="5"/>
  <c r="V46" i="5"/>
  <c r="L262" i="5"/>
  <c r="V61" i="5"/>
  <c r="V38" i="5"/>
  <c r="V88" i="5"/>
  <c r="V22" i="5"/>
  <c r="V127" i="5"/>
  <c r="V83" i="5"/>
  <c r="V21" i="5"/>
  <c r="V131" i="5"/>
  <c r="V81" i="5"/>
  <c r="V128" i="5"/>
  <c r="V7" i="5"/>
  <c r="V52" i="5"/>
  <c r="V28" i="5"/>
  <c r="V102" i="5"/>
  <c r="V42" i="5"/>
  <c r="V26" i="5"/>
  <c r="V63" i="5"/>
  <c r="V130" i="5"/>
  <c r="V34" i="5"/>
  <c r="V133" i="5"/>
  <c r="V86" i="5"/>
  <c r="V75" i="5"/>
  <c r="V39" i="5"/>
  <c r="V37" i="5"/>
  <c r="V76" i="5"/>
  <c r="V59" i="5"/>
  <c r="V95" i="5"/>
  <c r="V132" i="5"/>
  <c r="V120" i="5"/>
  <c r="V113" i="5"/>
  <c r="V89" i="5"/>
  <c r="V107" i="5"/>
  <c r="V84" i="5"/>
  <c r="V18" i="5"/>
  <c r="V17" i="5"/>
  <c r="V91" i="5"/>
  <c r="V94" i="5"/>
  <c r="V67" i="5"/>
  <c r="V96" i="5"/>
  <c r="V55" i="5"/>
  <c r="V24" i="5"/>
  <c r="V137" i="5"/>
  <c r="V110" i="5"/>
  <c r="V57" i="5"/>
  <c r="V116" i="5"/>
  <c r="V29" i="5"/>
  <c r="V80" i="5"/>
  <c r="V20" i="5"/>
  <c r="V47" i="5"/>
  <c r="V65" i="5"/>
  <c r="V101" i="5"/>
  <c r="V12" i="5"/>
  <c r="V54" i="5"/>
  <c r="V73" i="5"/>
  <c r="V104" i="5"/>
  <c r="V112" i="5"/>
  <c r="V62" i="5"/>
  <c r="V121" i="5"/>
  <c r="V106" i="5"/>
  <c r="V74" i="5"/>
  <c r="V53" i="5"/>
  <c r="V93" i="5"/>
  <c r="V69" i="5"/>
  <c r="V136" i="5"/>
  <c r="V79" i="5"/>
  <c r="V41" i="5"/>
  <c r="V92" i="5"/>
  <c r="V32" i="5"/>
  <c r="V70" i="5"/>
  <c r="V45" i="5"/>
  <c r="V66" i="5"/>
  <c r="V134" i="5"/>
  <c r="V98" i="5"/>
  <c r="V19" i="5"/>
  <c r="V58" i="5"/>
  <c r="V123" i="5"/>
  <c r="V78" i="5"/>
  <c r="V68" i="5"/>
  <c r="V14" i="5"/>
  <c r="V40" i="5"/>
  <c r="V82" i="5"/>
  <c r="V115" i="5"/>
  <c r="V126" i="5"/>
  <c r="V109" i="5"/>
  <c r="V16" i="5"/>
  <c r="V27" i="5"/>
  <c r="V71" i="5"/>
  <c r="V108" i="5"/>
  <c r="V30" i="5"/>
  <c r="F20" i="1"/>
  <c r="F28" i="1"/>
  <c r="F23" i="1"/>
  <c r="F21" i="1"/>
  <c r="F108" i="1"/>
  <c r="F67" i="1"/>
  <c r="F133" i="1"/>
  <c r="F56" i="1"/>
  <c r="F32" i="1"/>
  <c r="F106" i="1"/>
  <c r="F53" i="1"/>
  <c r="F96" i="1"/>
  <c r="F22" i="1"/>
  <c r="F68" i="1"/>
  <c r="F78" i="1"/>
  <c r="F60" i="1"/>
  <c r="F65" i="1"/>
  <c r="F81" i="1"/>
  <c r="F19" i="1"/>
  <c r="F48" i="1"/>
  <c r="F116" i="1"/>
  <c r="C5" i="1"/>
  <c r="G264" i="2"/>
  <c r="F63" i="1"/>
  <c r="F80" i="1"/>
  <c r="F110" i="1"/>
  <c r="F92" i="1"/>
  <c r="F115" i="1"/>
  <c r="F100" i="1"/>
  <c r="F44" i="1"/>
  <c r="F61" i="1"/>
  <c r="F87" i="1"/>
  <c r="F41" i="1"/>
  <c r="F121" i="1"/>
  <c r="F64" i="1"/>
  <c r="F94" i="1"/>
  <c r="F103" i="1"/>
  <c r="F57" i="1"/>
  <c r="F55" i="1"/>
  <c r="F117" i="1"/>
  <c r="F16" i="1"/>
  <c r="F123" i="1"/>
  <c r="F127" i="1"/>
  <c r="F101" i="1"/>
  <c r="F37" i="1"/>
  <c r="F34" i="1"/>
  <c r="F66" i="1"/>
  <c r="F24" i="1"/>
  <c r="F13" i="1"/>
  <c r="F132" i="1"/>
  <c r="F79" i="1"/>
  <c r="F95" i="1"/>
  <c r="F82" i="1"/>
  <c r="F120" i="1"/>
  <c r="F5" i="1"/>
  <c r="F109" i="1"/>
  <c r="F54" i="1"/>
  <c r="F74" i="1"/>
  <c r="F72" i="1"/>
  <c r="F25" i="1"/>
  <c r="F47" i="1"/>
  <c r="F84" i="1"/>
  <c r="F70" i="1"/>
  <c r="F33" i="1"/>
  <c r="F46" i="1"/>
  <c r="F131" i="1"/>
  <c r="F83" i="1"/>
  <c r="F93" i="1"/>
  <c r="F9" i="1"/>
  <c r="F107" i="1"/>
  <c r="F119" i="1"/>
  <c r="F90" i="1"/>
  <c r="F30" i="1"/>
  <c r="F7" i="1"/>
  <c r="F102" i="1"/>
  <c r="F76" i="1"/>
  <c r="F49" i="1"/>
  <c r="F45" i="1"/>
  <c r="F71" i="1"/>
  <c r="F38" i="1"/>
  <c r="F40" i="1"/>
  <c r="F17" i="1"/>
  <c r="F86" i="1"/>
  <c r="F130" i="1"/>
  <c r="F114" i="1"/>
  <c r="F88" i="1"/>
  <c r="F125" i="1"/>
  <c r="F129" i="1"/>
  <c r="F134" i="1"/>
  <c r="F62" i="1"/>
  <c r="F58" i="1"/>
  <c r="F124" i="1"/>
  <c r="F104" i="1"/>
  <c r="F15" i="1"/>
  <c r="F128" i="1"/>
  <c r="F11" i="1"/>
  <c r="F69" i="1"/>
  <c r="F27" i="1"/>
  <c r="F91" i="1"/>
  <c r="F14" i="1"/>
  <c r="F137" i="1"/>
  <c r="F8" i="1"/>
  <c r="F18" i="1"/>
  <c r="F77" i="1"/>
  <c r="F43" i="1"/>
  <c r="F39" i="1"/>
  <c r="F122" i="1"/>
  <c r="F52" i="1"/>
  <c r="F99" i="1"/>
  <c r="F98" i="1"/>
  <c r="F111" i="1"/>
  <c r="F136" i="1"/>
  <c r="F97" i="1"/>
  <c r="F26" i="1"/>
  <c r="F36" i="1"/>
  <c r="F113" i="1"/>
  <c r="F85" i="1"/>
  <c r="F75" i="1"/>
  <c r="F59" i="1"/>
  <c r="F135" i="1"/>
  <c r="F12" i="1"/>
  <c r="F73" i="1"/>
  <c r="F35" i="1"/>
  <c r="F112" i="1"/>
  <c r="F50" i="1"/>
  <c r="F29" i="1"/>
  <c r="F118" i="1"/>
  <c r="F51" i="1"/>
  <c r="F10" i="1"/>
  <c r="F42" i="1"/>
  <c r="F6" i="1"/>
  <c r="F89" i="1"/>
  <c r="J144" i="1" l="1"/>
  <c r="F144" i="8" s="1"/>
  <c r="J144" i="8" s="1"/>
  <c r="Q144" i="8" s="1"/>
  <c r="D144" i="8"/>
  <c r="S144" i="1"/>
  <c r="T32" i="5"/>
  <c r="P144" i="5"/>
  <c r="R144" i="5" s="1"/>
  <c r="V144" i="5" s="1"/>
  <c r="V260" i="5"/>
  <c r="V213" i="5"/>
  <c r="V237" i="5"/>
  <c r="T237" i="5"/>
  <c r="V189" i="5"/>
  <c r="V160" i="5"/>
  <c r="T160" i="5"/>
  <c r="V251" i="5"/>
  <c r="V205" i="5"/>
  <c r="V175" i="5"/>
  <c r="T175" i="5"/>
  <c r="V198" i="5"/>
  <c r="T198" i="5"/>
  <c r="V192" i="5"/>
  <c r="V185" i="5"/>
  <c r="T185" i="5"/>
  <c r="V152" i="5"/>
  <c r="V164" i="5"/>
  <c r="T164" i="5"/>
  <c r="V224" i="5"/>
  <c r="V169" i="5"/>
  <c r="T169" i="5"/>
  <c r="V211" i="5"/>
  <c r="T211" i="5"/>
  <c r="V203" i="5"/>
  <c r="V145" i="5"/>
  <c r="V155" i="5"/>
  <c r="T155" i="5"/>
  <c r="V191" i="5"/>
  <c r="V150" i="5"/>
  <c r="T150" i="5"/>
  <c r="V170" i="5"/>
  <c r="V232" i="5"/>
  <c r="T232" i="5"/>
  <c r="V253" i="5"/>
  <c r="T253" i="5"/>
  <c r="V223" i="5"/>
  <c r="T223" i="5"/>
  <c r="V238" i="5"/>
  <c r="V240" i="5"/>
  <c r="V151" i="5"/>
  <c r="V163" i="5"/>
  <c r="V256" i="5"/>
  <c r="V231" i="5"/>
  <c r="V208" i="5"/>
  <c r="T208" i="5"/>
  <c r="V244" i="5"/>
  <c r="T244" i="5"/>
  <c r="V182" i="5"/>
  <c r="V254" i="5"/>
  <c r="T254" i="5"/>
  <c r="V180" i="5"/>
  <c r="T180" i="5"/>
  <c r="V172" i="5"/>
  <c r="V247" i="5"/>
  <c r="V156" i="5"/>
  <c r="T156" i="5"/>
  <c r="V148" i="5"/>
  <c r="V168" i="5"/>
  <c r="V236" i="5"/>
  <c r="V195" i="5"/>
  <c r="T195" i="5"/>
  <c r="V258" i="5"/>
  <c r="T258" i="5"/>
  <c r="V167" i="5"/>
  <c r="T167" i="5"/>
  <c r="V187" i="5"/>
  <c r="V196" i="5"/>
  <c r="T196" i="5"/>
  <c r="V235" i="5"/>
  <c r="T235" i="5"/>
  <c r="V149" i="5"/>
  <c r="V261" i="5"/>
  <c r="V227" i="5"/>
  <c r="V153" i="5"/>
  <c r="T153" i="5"/>
  <c r="V157" i="5"/>
  <c r="T157" i="5"/>
  <c r="V255" i="5"/>
  <c r="V200" i="5"/>
  <c r="T200" i="5"/>
  <c r="V249" i="5"/>
  <c r="T249" i="5"/>
  <c r="V212" i="5"/>
  <c r="V147" i="5"/>
  <c r="V159" i="5"/>
  <c r="V214" i="5"/>
  <c r="T214" i="5"/>
  <c r="V225" i="5"/>
  <c r="V219" i="5"/>
  <c r="V179" i="5"/>
  <c r="T179" i="5"/>
  <c r="V193" i="5"/>
  <c r="T193" i="5"/>
  <c r="V184" i="5"/>
  <c r="V171" i="5"/>
  <c r="V215" i="5"/>
  <c r="T215" i="5"/>
  <c r="V222" i="5"/>
  <c r="V202" i="5"/>
  <c r="T202" i="5"/>
  <c r="V220" i="5"/>
  <c r="V233" i="5"/>
  <c r="V183" i="5"/>
  <c r="T183" i="5"/>
  <c r="V194" i="5"/>
  <c r="V250" i="5"/>
  <c r="V216" i="5"/>
  <c r="T216" i="5"/>
  <c r="V206" i="5"/>
  <c r="T206" i="5"/>
  <c r="V217" i="5"/>
  <c r="T217" i="5"/>
  <c r="V242" i="5"/>
  <c r="V226" i="5"/>
  <c r="T226" i="5"/>
  <c r="V181" i="5"/>
  <c r="T181" i="5"/>
  <c r="V246" i="5"/>
  <c r="V166" i="5"/>
  <c r="V165" i="5"/>
  <c r="T165" i="5"/>
  <c r="V199" i="5"/>
  <c r="T199" i="5"/>
  <c r="V177" i="5"/>
  <c r="T177" i="5"/>
  <c r="V158" i="5"/>
  <c r="V239" i="5"/>
  <c r="T239" i="5"/>
  <c r="V229" i="5"/>
  <c r="V174" i="5"/>
  <c r="V257" i="5"/>
  <c r="V230" i="5"/>
  <c r="T230" i="5"/>
  <c r="V154" i="5"/>
  <c r="T154" i="5"/>
  <c r="V209" i="5"/>
  <c r="T209" i="5"/>
  <c r="V241" i="5"/>
  <c r="V221" i="5"/>
  <c r="T221" i="5"/>
  <c r="V259" i="5"/>
  <c r="T259" i="5"/>
  <c r="V248" i="5"/>
  <c r="V162" i="5"/>
  <c r="V204" i="5"/>
  <c r="T204" i="5"/>
  <c r="V245" i="5"/>
  <c r="T245" i="5"/>
  <c r="V146" i="5"/>
  <c r="T146" i="5"/>
  <c r="V234" i="5"/>
  <c r="V218" i="5"/>
  <c r="T218" i="5"/>
  <c r="V207" i="5"/>
  <c r="T207" i="5"/>
  <c r="V197" i="5"/>
  <c r="V210" i="5"/>
  <c r="V188" i="5"/>
  <c r="T188" i="5"/>
  <c r="V190" i="5"/>
  <c r="V243" i="5"/>
  <c r="T243" i="5"/>
  <c r="V178" i="5"/>
  <c r="V252" i="5"/>
  <c r="T252" i="5"/>
  <c r="V201" i="5"/>
  <c r="T201" i="5"/>
  <c r="T228" i="5"/>
  <c r="V173" i="5"/>
  <c r="T173" i="5"/>
  <c r="V161" i="5"/>
  <c r="T161" i="5"/>
  <c r="V176" i="5"/>
  <c r="T176" i="5"/>
  <c r="V186" i="5"/>
  <c r="H157" i="1"/>
  <c r="J157" i="1" s="1"/>
  <c r="L157" i="1" s="1"/>
  <c r="S31" i="1"/>
  <c r="D31" i="8"/>
  <c r="T139" i="5"/>
  <c r="F31" i="8"/>
  <c r="J31" i="8" s="1"/>
  <c r="Q31" i="8" s="1"/>
  <c r="P31" i="1"/>
  <c r="F262" i="1"/>
  <c r="F264" i="1" s="1"/>
  <c r="V5" i="5"/>
  <c r="T5" i="5"/>
  <c r="C264" i="1"/>
  <c r="D262" i="1"/>
  <c r="V105" i="5"/>
  <c r="H105" i="1"/>
  <c r="S105" i="1" s="1"/>
  <c r="T138" i="5"/>
  <c r="T53" i="5"/>
  <c r="T60" i="5"/>
  <c r="T50" i="5"/>
  <c r="T9" i="5"/>
  <c r="T125" i="5"/>
  <c r="T68" i="5"/>
  <c r="T30" i="5"/>
  <c r="T113" i="5"/>
  <c r="T19" i="5"/>
  <c r="T133" i="5"/>
  <c r="T38" i="5"/>
  <c r="T122" i="5"/>
  <c r="T57" i="5"/>
  <c r="T37" i="5"/>
  <c r="T66" i="5"/>
  <c r="T92" i="5"/>
  <c r="T54" i="5"/>
  <c r="T132" i="5"/>
  <c r="T72" i="5"/>
  <c r="T39" i="5"/>
  <c r="T130" i="5"/>
  <c r="T40" i="5"/>
  <c r="T10" i="5"/>
  <c r="T117" i="5"/>
  <c r="T27" i="5"/>
  <c r="T18" i="5"/>
  <c r="T131" i="5"/>
  <c r="T103" i="5"/>
  <c r="T24" i="5"/>
  <c r="T76" i="5"/>
  <c r="T64" i="5"/>
  <c r="T74" i="5"/>
  <c r="T91" i="5"/>
  <c r="T23" i="5"/>
  <c r="T25" i="5"/>
  <c r="T108" i="5"/>
  <c r="T41" i="5"/>
  <c r="T73" i="5"/>
  <c r="T34" i="5"/>
  <c r="T135" i="5"/>
  <c r="T75" i="5"/>
  <c r="T71" i="5"/>
  <c r="T109" i="5"/>
  <c r="T70" i="5"/>
  <c r="T106" i="5"/>
  <c r="T104" i="5"/>
  <c r="T20" i="5"/>
  <c r="T63" i="5"/>
  <c r="T88" i="5"/>
  <c r="T61" i="5"/>
  <c r="T141" i="5"/>
  <c r="T43" i="5"/>
  <c r="T15" i="5"/>
  <c r="T81" i="5"/>
  <c r="T12" i="5"/>
  <c r="T55" i="5"/>
  <c r="T94" i="5"/>
  <c r="T36" i="5"/>
  <c r="T118" i="5"/>
  <c r="T29" i="5"/>
  <c r="T21" i="5"/>
  <c r="T115" i="5"/>
  <c r="T79" i="5"/>
  <c r="T93" i="5"/>
  <c r="T62" i="5"/>
  <c r="T65" i="5"/>
  <c r="T80" i="5"/>
  <c r="T84" i="5"/>
  <c r="T107" i="5"/>
  <c r="T95" i="5"/>
  <c r="T128" i="5"/>
  <c r="T127" i="5"/>
  <c r="T262" i="3"/>
  <c r="T101" i="5"/>
  <c r="T17" i="5"/>
  <c r="T26" i="5"/>
  <c r="T28" i="5"/>
  <c r="T83" i="5"/>
  <c r="T77" i="5"/>
  <c r="T111" i="5"/>
  <c r="T119" i="5"/>
  <c r="T35" i="5"/>
  <c r="T124" i="5"/>
  <c r="T13" i="5"/>
  <c r="T69" i="5"/>
  <c r="T126" i="5"/>
  <c r="T82" i="5"/>
  <c r="T123" i="5"/>
  <c r="T142" i="5"/>
  <c r="T121" i="5"/>
  <c r="T112" i="5"/>
  <c r="T116" i="5"/>
  <c r="T110" i="5"/>
  <c r="T67" i="5"/>
  <c r="T120" i="5"/>
  <c r="T143" i="5"/>
  <c r="T42" i="5"/>
  <c r="T52" i="5"/>
  <c r="T46" i="5"/>
  <c r="T85" i="5"/>
  <c r="T49" i="5"/>
  <c r="T33" i="5"/>
  <c r="T48" i="5"/>
  <c r="T97" i="5"/>
  <c r="T87" i="5"/>
  <c r="T11" i="5"/>
  <c r="T6" i="5"/>
  <c r="T51" i="5"/>
  <c r="T14" i="5"/>
  <c r="T16" i="5"/>
  <c r="T78" i="5"/>
  <c r="T98" i="5"/>
  <c r="T45" i="5"/>
  <c r="T136" i="5"/>
  <c r="T47" i="5"/>
  <c r="T137" i="5"/>
  <c r="T96" i="5"/>
  <c r="T89" i="5"/>
  <c r="T59" i="5"/>
  <c r="T86" i="5"/>
  <c r="T102" i="5"/>
  <c r="T7" i="5"/>
  <c r="T22" i="5"/>
  <c r="N262" i="5"/>
  <c r="T140" i="5"/>
  <c r="T44" i="5"/>
  <c r="T114" i="5"/>
  <c r="T90" i="5"/>
  <c r="T56" i="5"/>
  <c r="T58" i="5"/>
  <c r="T134" i="5"/>
  <c r="T8" i="5"/>
  <c r="T100" i="5"/>
  <c r="T129" i="5"/>
  <c r="T99" i="5"/>
  <c r="D5" i="1"/>
  <c r="T264" i="3"/>
  <c r="L264" i="7"/>
  <c r="K264" i="7" s="1"/>
  <c r="L264" i="5"/>
  <c r="T144" i="5" l="1"/>
  <c r="P144" i="1"/>
  <c r="L144" i="1"/>
  <c r="T222" i="5"/>
  <c r="T172" i="5"/>
  <c r="T240" i="5"/>
  <c r="T205" i="5"/>
  <c r="T189" i="5"/>
  <c r="T260" i="5"/>
  <c r="T233" i="5"/>
  <c r="T225" i="5"/>
  <c r="T227" i="5"/>
  <c r="T231" i="5"/>
  <c r="T151" i="5"/>
  <c r="T186" i="5"/>
  <c r="T190" i="5"/>
  <c r="T229" i="5"/>
  <c r="T159" i="5"/>
  <c r="T163" i="5"/>
  <c r="T191" i="5"/>
  <c r="T148" i="5"/>
  <c r="T152" i="5"/>
  <c r="T178" i="5"/>
  <c r="T234" i="5"/>
  <c r="T241" i="5"/>
  <c r="T158" i="5"/>
  <c r="T242" i="5"/>
  <c r="T220" i="5"/>
  <c r="T219" i="5"/>
  <c r="T255" i="5"/>
  <c r="T187" i="5"/>
  <c r="T247" i="5"/>
  <c r="T256" i="5"/>
  <c r="T170" i="5"/>
  <c r="T224" i="5"/>
  <c r="T251" i="5"/>
  <c r="R262" i="5"/>
  <c r="V262" i="5" s="1"/>
  <c r="T210" i="5"/>
  <c r="T162" i="5"/>
  <c r="T257" i="5"/>
  <c r="T166" i="5"/>
  <c r="T250" i="5"/>
  <c r="T171" i="5"/>
  <c r="T147" i="5"/>
  <c r="T261" i="5"/>
  <c r="T236" i="5"/>
  <c r="T182" i="5"/>
  <c r="T238" i="5"/>
  <c r="T145" i="5"/>
  <c r="T192" i="5"/>
  <c r="T213" i="5"/>
  <c r="T197" i="5"/>
  <c r="T248" i="5"/>
  <c r="T174" i="5"/>
  <c r="T246" i="5"/>
  <c r="T194" i="5"/>
  <c r="T184" i="5"/>
  <c r="T212" i="5"/>
  <c r="T149" i="5"/>
  <c r="T168" i="5"/>
  <c r="T203" i="5"/>
  <c r="P157" i="1"/>
  <c r="P262" i="5"/>
  <c r="J105" i="1"/>
  <c r="L105" i="1" s="1"/>
  <c r="D105" i="8"/>
  <c r="T105" i="5"/>
  <c r="V140" i="5"/>
  <c r="D264" i="1"/>
  <c r="N264" i="5"/>
  <c r="P264" i="5" s="1"/>
  <c r="T262" i="5" l="1"/>
  <c r="F105" i="8"/>
  <c r="J105" i="8" s="1"/>
  <c r="Q105" i="8" s="1"/>
  <c r="P105" i="1"/>
  <c r="E174" i="1"/>
  <c r="H174" i="1" s="1"/>
  <c r="J174" i="1" s="1"/>
  <c r="E169" i="1"/>
  <c r="H169" i="1" s="1"/>
  <c r="J169" i="1" s="1"/>
  <c r="R135" i="7"/>
  <c r="R134" i="7"/>
  <c r="R131" i="7"/>
  <c r="R101" i="7"/>
  <c r="R33" i="7"/>
  <c r="R116" i="7"/>
  <c r="R51" i="7"/>
  <c r="R76" i="7"/>
  <c r="R102" i="7"/>
  <c r="E182" i="1"/>
  <c r="H182" i="1" s="1"/>
  <c r="J182" i="1" s="1"/>
  <c r="R97" i="7"/>
  <c r="R73" i="7"/>
  <c r="R13" i="7"/>
  <c r="R110" i="7"/>
  <c r="R48" i="7"/>
  <c r="R53" i="7"/>
  <c r="R107" i="7"/>
  <c r="R38" i="7"/>
  <c r="E155" i="1"/>
  <c r="H155" i="1" s="1"/>
  <c r="J155" i="1" s="1"/>
  <c r="R91" i="7"/>
  <c r="R136" i="7"/>
  <c r="E208" i="1"/>
  <c r="H208" i="1" s="1"/>
  <c r="J208" i="1" s="1"/>
  <c r="E170" i="1"/>
  <c r="H170" i="1" s="1"/>
  <c r="J170" i="1" s="1"/>
  <c r="E203" i="1"/>
  <c r="H203" i="1" s="1"/>
  <c r="J203" i="1" s="1"/>
  <c r="E152" i="1"/>
  <c r="H152" i="1" s="1"/>
  <c r="J152" i="1" s="1"/>
  <c r="E187" i="1"/>
  <c r="H187" i="1" s="1"/>
  <c r="J187" i="1" s="1"/>
  <c r="E207" i="1"/>
  <c r="H207" i="1" s="1"/>
  <c r="J207" i="1" s="1"/>
  <c r="E210" i="1"/>
  <c r="H210" i="1" s="1"/>
  <c r="J210" i="1" s="1"/>
  <c r="R137" i="7"/>
  <c r="E176" i="1"/>
  <c r="H176" i="1" s="1"/>
  <c r="J176" i="1" s="1"/>
  <c r="E240" i="1"/>
  <c r="H240" i="1" s="1"/>
  <c r="J240" i="1" s="1"/>
  <c r="E254" i="1"/>
  <c r="H254" i="1" s="1"/>
  <c r="J254" i="1" s="1"/>
  <c r="E213" i="1"/>
  <c r="H213" i="1" s="1"/>
  <c r="J213" i="1" s="1"/>
  <c r="E225" i="1"/>
  <c r="H225" i="1" s="1"/>
  <c r="J225" i="1" s="1"/>
  <c r="E242" i="1"/>
  <c r="H242" i="1" s="1"/>
  <c r="J242" i="1" s="1"/>
  <c r="E259" i="1"/>
  <c r="H259" i="1" s="1"/>
  <c r="J259" i="1" s="1"/>
  <c r="E171" i="1"/>
  <c r="H171" i="1" s="1"/>
  <c r="J171" i="1" s="1"/>
  <c r="E244" i="1"/>
  <c r="H244" i="1" s="1"/>
  <c r="J244" i="1" s="1"/>
  <c r="E226" i="1"/>
  <c r="H226" i="1" s="1"/>
  <c r="J226" i="1" s="1"/>
  <c r="E228" i="1"/>
  <c r="H228" i="1" s="1"/>
  <c r="J228" i="1" s="1"/>
  <c r="E245" i="1"/>
  <c r="H245" i="1" s="1"/>
  <c r="J245" i="1" s="1"/>
  <c r="E221" i="1"/>
  <c r="H221" i="1" s="1"/>
  <c r="J221" i="1" s="1"/>
  <c r="R100" i="7"/>
  <c r="R47" i="7"/>
  <c r="E200" i="1"/>
  <c r="H200" i="1" s="1"/>
  <c r="J200" i="1" s="1"/>
  <c r="R45" i="7"/>
  <c r="E161" i="1"/>
  <c r="H161" i="1" s="1"/>
  <c r="J161" i="1" s="1"/>
  <c r="E159" i="1"/>
  <c r="H159" i="1" s="1"/>
  <c r="J159" i="1" s="1"/>
  <c r="E172" i="1"/>
  <c r="H172" i="1" s="1"/>
  <c r="J172" i="1" s="1"/>
  <c r="E205" i="1"/>
  <c r="H205" i="1" s="1"/>
  <c r="J205" i="1" s="1"/>
  <c r="E223" i="1"/>
  <c r="H223" i="1" s="1"/>
  <c r="J223" i="1" s="1"/>
  <c r="E180" i="1"/>
  <c r="H180" i="1" s="1"/>
  <c r="J180" i="1" s="1"/>
  <c r="E236" i="1"/>
  <c r="H236" i="1" s="1"/>
  <c r="J236" i="1" s="1"/>
  <c r="E148" i="1"/>
  <c r="H148" i="1" s="1"/>
  <c r="J148" i="1" s="1"/>
  <c r="E214" i="1"/>
  <c r="H214" i="1" s="1"/>
  <c r="J214" i="1" s="1"/>
  <c r="E156" i="1"/>
  <c r="H156" i="1" s="1"/>
  <c r="J156" i="1" s="1"/>
  <c r="R42" i="7"/>
  <c r="R50" i="7"/>
  <c r="E218" i="1"/>
  <c r="H218" i="1" s="1"/>
  <c r="J218" i="1" s="1"/>
  <c r="R113" i="7"/>
  <c r="E194" i="1"/>
  <c r="H194" i="1" s="1"/>
  <c r="J194" i="1" s="1"/>
  <c r="E162" i="1"/>
  <c r="H162" i="1" s="1"/>
  <c r="J162" i="1" s="1"/>
  <c r="E202" i="1"/>
  <c r="H202" i="1" s="1"/>
  <c r="J202" i="1" s="1"/>
  <c r="R130" i="7"/>
  <c r="R143" i="7"/>
  <c r="E241" i="1"/>
  <c r="H241" i="1" s="1"/>
  <c r="J241" i="1" s="1"/>
  <c r="E260" i="1"/>
  <c r="H260" i="1" s="1"/>
  <c r="J260" i="1" s="1"/>
  <c r="R65" i="7"/>
  <c r="E164" i="1"/>
  <c r="H164" i="1" s="1"/>
  <c r="J164" i="1" s="1"/>
  <c r="R129" i="7"/>
  <c r="R56" i="7"/>
  <c r="R80" i="7"/>
  <c r="R104" i="7"/>
  <c r="E184" i="1"/>
  <c r="H184" i="1" s="1"/>
  <c r="J184" i="1" s="1"/>
  <c r="R29" i="7"/>
  <c r="R121" i="7"/>
  <c r="R85" i="7"/>
  <c r="R22" i="7"/>
  <c r="R123" i="7"/>
  <c r="R54" i="7"/>
  <c r="R55" i="7"/>
  <c r="R109" i="7"/>
  <c r="R67" i="7"/>
  <c r="E181" i="1"/>
  <c r="H181" i="1" s="1"/>
  <c r="J181" i="1" s="1"/>
  <c r="R142" i="7"/>
  <c r="E147" i="1"/>
  <c r="H147" i="1" s="1"/>
  <c r="J147" i="1" s="1"/>
  <c r="E175" i="1"/>
  <c r="H175" i="1" s="1"/>
  <c r="J175" i="1" s="1"/>
  <c r="E212" i="1"/>
  <c r="H212" i="1" s="1"/>
  <c r="J212" i="1" s="1"/>
  <c r="E160" i="1"/>
  <c r="H160" i="1" s="1"/>
  <c r="J160" i="1" s="1"/>
  <c r="E188" i="1"/>
  <c r="H188" i="1" s="1"/>
  <c r="J188" i="1" s="1"/>
  <c r="E217" i="1"/>
  <c r="H217" i="1" s="1"/>
  <c r="J217" i="1" s="1"/>
  <c r="E167" i="1"/>
  <c r="H167" i="1" s="1"/>
  <c r="J167" i="1" s="1"/>
  <c r="E211" i="1"/>
  <c r="H211" i="1" s="1"/>
  <c r="J211" i="1" s="1"/>
  <c r="E190" i="1"/>
  <c r="H190" i="1" s="1"/>
  <c r="J190" i="1" s="1"/>
  <c r="E249" i="1"/>
  <c r="H249" i="1" s="1"/>
  <c r="J249" i="1" s="1"/>
  <c r="R10" i="7"/>
  <c r="R83" i="7"/>
  <c r="R41" i="7"/>
  <c r="E154" i="1"/>
  <c r="H154" i="1" s="1"/>
  <c r="J154" i="1" s="1"/>
  <c r="R64" i="7"/>
  <c r="R86" i="7"/>
  <c r="R125" i="7"/>
  <c r="R11" i="7"/>
  <c r="R39" i="7"/>
  <c r="E196" i="1"/>
  <c r="H196" i="1" s="1"/>
  <c r="J196" i="1" s="1"/>
  <c r="R98" i="7"/>
  <c r="R36" i="7"/>
  <c r="E178" i="1"/>
  <c r="H178" i="1" s="1"/>
  <c r="J178" i="1" s="1"/>
  <c r="R68" i="7"/>
  <c r="R61" i="7"/>
  <c r="R117" i="7"/>
  <c r="E165" i="1"/>
  <c r="H165" i="1" s="1"/>
  <c r="J165" i="1" s="1"/>
  <c r="R118" i="7"/>
  <c r="R28" i="7"/>
  <c r="R17" i="7"/>
  <c r="E153" i="1"/>
  <c r="H153" i="1" s="1"/>
  <c r="J153" i="1" s="1"/>
  <c r="R120" i="7"/>
  <c r="E183" i="1"/>
  <c r="H183" i="1" s="1"/>
  <c r="J183" i="1" s="1"/>
  <c r="R127" i="7"/>
  <c r="E168" i="1"/>
  <c r="H168" i="1" s="1"/>
  <c r="J168" i="1" s="1"/>
  <c r="E193" i="1"/>
  <c r="H193" i="1" s="1"/>
  <c r="J193" i="1" s="1"/>
  <c r="E219" i="1"/>
  <c r="H219" i="1" s="1"/>
  <c r="J219" i="1" s="1"/>
  <c r="E209" i="1"/>
  <c r="H209" i="1" s="1"/>
  <c r="J209" i="1" s="1"/>
  <c r="E261" i="1"/>
  <c r="H261" i="1" s="1"/>
  <c r="J261" i="1" s="1"/>
  <c r="E243" i="1"/>
  <c r="H243" i="1" s="1"/>
  <c r="J243" i="1" s="1"/>
  <c r="E250" i="1"/>
  <c r="H250" i="1" s="1"/>
  <c r="J250" i="1" s="1"/>
  <c r="R103" i="7"/>
  <c r="E204" i="1"/>
  <c r="H204" i="1" s="1"/>
  <c r="J204" i="1" s="1"/>
  <c r="R70" i="7"/>
  <c r="R88" i="7"/>
  <c r="R133" i="7"/>
  <c r="R95" i="7"/>
  <c r="R122" i="7"/>
  <c r="R71" i="7"/>
  <c r="E189" i="1"/>
  <c r="H189" i="1" s="1"/>
  <c r="J189" i="1" s="1"/>
  <c r="E197" i="1"/>
  <c r="H197" i="1" s="1"/>
  <c r="J197" i="1" s="1"/>
  <c r="E227" i="1"/>
  <c r="H227" i="1" s="1"/>
  <c r="J227" i="1" s="1"/>
  <c r="R108" i="7"/>
  <c r="R92" i="7"/>
  <c r="R94" i="7"/>
  <c r="R106" i="7"/>
  <c r="R99" i="7"/>
  <c r="E146" i="1"/>
  <c r="H146" i="1" s="1"/>
  <c r="J146" i="1" s="1"/>
  <c r="E201" i="1"/>
  <c r="H201" i="1" s="1"/>
  <c r="J201" i="1" s="1"/>
  <c r="E163" i="1"/>
  <c r="H163" i="1" s="1"/>
  <c r="J163" i="1" s="1"/>
  <c r="E258" i="1"/>
  <c r="H258" i="1" s="1"/>
  <c r="J258" i="1" s="1"/>
  <c r="E256" i="1"/>
  <c r="H256" i="1" s="1"/>
  <c r="J256" i="1" s="1"/>
  <c r="R77" i="7"/>
  <c r="E145" i="1"/>
  <c r="H145" i="1" s="1"/>
  <c r="J145" i="1" s="1"/>
  <c r="R59" i="7"/>
  <c r="R82" i="7"/>
  <c r="R119" i="7"/>
  <c r="E186" i="1"/>
  <c r="H186" i="1" s="1"/>
  <c r="J186" i="1" s="1"/>
  <c r="R111" i="7"/>
  <c r="R26" i="7"/>
  <c r="E150" i="1"/>
  <c r="H150" i="1" s="1"/>
  <c r="J150" i="1" s="1"/>
  <c r="R62" i="7"/>
  <c r="R58" i="7"/>
  <c r="R112" i="7"/>
  <c r="E151" i="1"/>
  <c r="H151" i="1" s="1"/>
  <c r="J151" i="1" s="1"/>
  <c r="R8" i="7"/>
  <c r="E149" i="1"/>
  <c r="H149" i="1" s="1"/>
  <c r="J149" i="1" s="1"/>
  <c r="R141" i="7"/>
  <c r="E179" i="1"/>
  <c r="H179" i="1" s="1"/>
  <c r="J179" i="1" s="1"/>
  <c r="R115" i="7"/>
  <c r="E166" i="1"/>
  <c r="H166" i="1" s="1"/>
  <c r="J166" i="1" s="1"/>
  <c r="E192" i="1"/>
  <c r="H192" i="1" s="1"/>
  <c r="J192" i="1" s="1"/>
  <c r="E220" i="1"/>
  <c r="H220" i="1" s="1"/>
  <c r="J220" i="1" s="1"/>
  <c r="E177" i="1"/>
  <c r="H177" i="1" s="1"/>
  <c r="J177" i="1" s="1"/>
  <c r="E215" i="1"/>
  <c r="H215" i="1" s="1"/>
  <c r="J215" i="1" s="1"/>
  <c r="E195" i="1"/>
  <c r="H195" i="1" s="1"/>
  <c r="J195" i="1" s="1"/>
  <c r="E216" i="1"/>
  <c r="H216" i="1" s="1"/>
  <c r="J216" i="1" s="1"/>
  <c r="E257" i="1"/>
  <c r="H257" i="1" s="1"/>
  <c r="J257" i="1" s="1"/>
  <c r="E251" i="1"/>
  <c r="H251" i="1" s="1"/>
  <c r="J251" i="1" s="1"/>
  <c r="E246" i="1"/>
  <c r="H246" i="1" s="1"/>
  <c r="J246" i="1" s="1"/>
  <c r="E235" i="1"/>
  <c r="H235" i="1" s="1"/>
  <c r="J235" i="1" s="1"/>
  <c r="E247" i="1"/>
  <c r="H247" i="1" s="1"/>
  <c r="J247" i="1" s="1"/>
  <c r="E191" i="1"/>
  <c r="H191" i="1" s="1"/>
  <c r="J191" i="1" s="1"/>
  <c r="E224" i="1"/>
  <c r="H224" i="1" s="1"/>
  <c r="J224" i="1" s="1"/>
  <c r="E255" i="1"/>
  <c r="H255" i="1" s="1"/>
  <c r="J255" i="1" s="1"/>
  <c r="E233" i="1"/>
  <c r="H233" i="1" s="1"/>
  <c r="J233" i="1" s="1"/>
  <c r="R14" i="7"/>
  <c r="R19" i="7"/>
  <c r="R114" i="7"/>
  <c r="E199" i="1"/>
  <c r="H199" i="1" s="1"/>
  <c r="J199" i="1" s="1"/>
  <c r="R96" i="7"/>
  <c r="R126" i="7"/>
  <c r="R128" i="7"/>
  <c r="E231" i="1"/>
  <c r="H231" i="1" s="1"/>
  <c r="J231" i="1" s="1"/>
  <c r="R132" i="7"/>
  <c r="E248" i="1"/>
  <c r="H248" i="1" s="1"/>
  <c r="J248" i="1" s="1"/>
  <c r="E252" i="1"/>
  <c r="H252" i="1" s="1"/>
  <c r="J252" i="1" s="1"/>
  <c r="E253" i="1"/>
  <c r="H253" i="1" s="1"/>
  <c r="J253" i="1" s="1"/>
  <c r="R23" i="7"/>
  <c r="R74" i="7"/>
  <c r="R20" i="7"/>
  <c r="E185" i="1"/>
  <c r="H185" i="1" s="1"/>
  <c r="J185" i="1" s="1"/>
  <c r="E222" i="1"/>
  <c r="H222" i="1" s="1"/>
  <c r="J222" i="1" s="1"/>
  <c r="R124" i="7"/>
  <c r="R79" i="7"/>
  <c r="E173" i="1"/>
  <c r="H173" i="1" s="1"/>
  <c r="J173" i="1" s="1"/>
  <c r="E206" i="1"/>
  <c r="H206" i="1" s="1"/>
  <c r="J206" i="1" s="1"/>
  <c r="E232" i="1"/>
  <c r="H232" i="1" s="1"/>
  <c r="J232" i="1" s="1"/>
  <c r="E198" i="1"/>
  <c r="H198" i="1" s="1"/>
  <c r="J198" i="1" s="1"/>
  <c r="E239" i="1"/>
  <c r="H239" i="1" s="1"/>
  <c r="J239" i="1" s="1"/>
  <c r="R18" i="7"/>
  <c r="R12" i="7"/>
  <c r="R72" i="7"/>
  <c r="E238" i="1"/>
  <c r="H238" i="1" s="1"/>
  <c r="J238" i="1" s="1"/>
  <c r="R9" i="7"/>
  <c r="R52" i="7"/>
  <c r="R87" i="7"/>
  <c r="R35" i="7"/>
  <c r="R37" i="7"/>
  <c r="E234" i="1"/>
  <c r="H234" i="1" s="1"/>
  <c r="J234" i="1" s="1"/>
  <c r="R84" i="7"/>
  <c r="R7" i="7"/>
  <c r="R44" i="7"/>
  <c r="R81" i="7"/>
  <c r="R57" i="7"/>
  <c r="R78" i="7"/>
  <c r="R140" i="7"/>
  <c r="T140" i="7" s="1"/>
  <c r="V140" i="7" s="1"/>
  <c r="R93" i="7"/>
  <c r="R66" i="7"/>
  <c r="R75" i="7"/>
  <c r="R69" i="7"/>
  <c r="R63" i="7"/>
  <c r="R60" i="7"/>
  <c r="R25" i="7"/>
  <c r="R40" i="7"/>
  <c r="R49" i="7"/>
  <c r="R21" i="7"/>
  <c r="R34" i="7"/>
  <c r="R46" i="7"/>
  <c r="R16" i="7"/>
  <c r="R43" i="7"/>
  <c r="R90" i="7"/>
  <c r="R30" i="7"/>
  <c r="E237" i="1"/>
  <c r="H237" i="1" s="1"/>
  <c r="J237" i="1" s="1"/>
  <c r="R15" i="7"/>
  <c r="R27" i="7"/>
  <c r="E230" i="1"/>
  <c r="H230" i="1" s="1"/>
  <c r="J230" i="1" s="1"/>
  <c r="R24" i="7"/>
  <c r="E229" i="1"/>
  <c r="H229" i="1" s="1"/>
  <c r="J229" i="1" s="1"/>
  <c r="M264" i="7"/>
  <c r="T264" i="5"/>
  <c r="R264" i="5"/>
  <c r="X140" i="7" l="1"/>
  <c r="P188" i="1"/>
  <c r="L188" i="1"/>
  <c r="E158" i="1"/>
  <c r="H158" i="1" s="1"/>
  <c r="J158" i="1" s="1"/>
  <c r="P227" i="1"/>
  <c r="L227" i="1"/>
  <c r="P192" i="1"/>
  <c r="L192" i="1"/>
  <c r="P245" i="1"/>
  <c r="L245" i="1"/>
  <c r="P182" i="1"/>
  <c r="L182" i="1"/>
  <c r="L177" i="1"/>
  <c r="P177" i="1"/>
  <c r="P218" i="1"/>
  <c r="L218" i="1"/>
  <c r="P160" i="1"/>
  <c r="L160" i="1"/>
  <c r="L207" i="1"/>
  <c r="P207" i="1"/>
  <c r="P197" i="1"/>
  <c r="L197" i="1"/>
  <c r="P187" i="1"/>
  <c r="L187" i="1"/>
  <c r="L229" i="1"/>
  <c r="P229" i="1"/>
  <c r="L185" i="1"/>
  <c r="P185" i="1"/>
  <c r="P233" i="1"/>
  <c r="L233" i="1"/>
  <c r="L166" i="1"/>
  <c r="P166" i="1"/>
  <c r="P189" i="1"/>
  <c r="L189" i="1"/>
  <c r="P175" i="1"/>
  <c r="L175" i="1"/>
  <c r="P156" i="1"/>
  <c r="L156" i="1"/>
  <c r="P228" i="1"/>
  <c r="L228" i="1"/>
  <c r="L152" i="1"/>
  <c r="P152" i="1"/>
  <c r="L255" i="1"/>
  <c r="P255" i="1"/>
  <c r="P183" i="1"/>
  <c r="L183" i="1"/>
  <c r="L147" i="1"/>
  <c r="P147" i="1"/>
  <c r="P214" i="1"/>
  <c r="L214" i="1"/>
  <c r="L226" i="1"/>
  <c r="P226" i="1"/>
  <c r="P203" i="1"/>
  <c r="L203" i="1"/>
  <c r="L219" i="1"/>
  <c r="P219" i="1"/>
  <c r="L179" i="1"/>
  <c r="P179" i="1"/>
  <c r="P145" i="1"/>
  <c r="L145" i="1"/>
  <c r="L164" i="1"/>
  <c r="P164" i="1"/>
  <c r="L148" i="1"/>
  <c r="P148" i="1"/>
  <c r="P244" i="1"/>
  <c r="L244" i="1"/>
  <c r="P170" i="1"/>
  <c r="L170" i="1"/>
  <c r="L168" i="1"/>
  <c r="P168" i="1"/>
  <c r="P212" i="1"/>
  <c r="L212" i="1"/>
  <c r="L236" i="1"/>
  <c r="P236" i="1"/>
  <c r="P171" i="1"/>
  <c r="L171" i="1"/>
  <c r="P208" i="1"/>
  <c r="L208" i="1"/>
  <c r="P199" i="1"/>
  <c r="L199" i="1"/>
  <c r="L230" i="1"/>
  <c r="P230" i="1"/>
  <c r="P181" i="1"/>
  <c r="L181" i="1"/>
  <c r="P149" i="1"/>
  <c r="L149" i="1"/>
  <c r="L154" i="1"/>
  <c r="P154" i="1"/>
  <c r="P260" i="1"/>
  <c r="L260" i="1"/>
  <c r="L180" i="1"/>
  <c r="P180" i="1"/>
  <c r="P259" i="1"/>
  <c r="L259" i="1"/>
  <c r="L223" i="1"/>
  <c r="P223" i="1"/>
  <c r="P242" i="1"/>
  <c r="L242" i="1"/>
  <c r="P220" i="1"/>
  <c r="L220" i="1"/>
  <c r="P221" i="1"/>
  <c r="L221" i="1"/>
  <c r="L222" i="1"/>
  <c r="P222" i="1"/>
  <c r="L153" i="1"/>
  <c r="P153" i="1"/>
  <c r="P253" i="1"/>
  <c r="L253" i="1"/>
  <c r="P237" i="1"/>
  <c r="L237" i="1"/>
  <c r="P252" i="1"/>
  <c r="L252" i="1"/>
  <c r="L184" i="1"/>
  <c r="P184" i="1"/>
  <c r="L186" i="1"/>
  <c r="P186" i="1"/>
  <c r="L196" i="1"/>
  <c r="P196" i="1"/>
  <c r="P224" i="1"/>
  <c r="L224" i="1"/>
  <c r="P191" i="1"/>
  <c r="L191" i="1"/>
  <c r="P238" i="1"/>
  <c r="L238" i="1"/>
  <c r="L247" i="1"/>
  <c r="P247" i="1"/>
  <c r="P258" i="1"/>
  <c r="L258" i="1"/>
  <c r="P248" i="1"/>
  <c r="L248" i="1"/>
  <c r="L163" i="1"/>
  <c r="P163" i="1"/>
  <c r="P155" i="1"/>
  <c r="L155" i="1"/>
  <c r="P246" i="1"/>
  <c r="L246" i="1"/>
  <c r="P151" i="1"/>
  <c r="L151" i="1"/>
  <c r="P201" i="1"/>
  <c r="L201" i="1"/>
  <c r="P204" i="1"/>
  <c r="L204" i="1"/>
  <c r="L165" i="1"/>
  <c r="P165" i="1"/>
  <c r="L172" i="1"/>
  <c r="P172" i="1"/>
  <c r="L213" i="1"/>
  <c r="P213" i="1"/>
  <c r="L241" i="1"/>
  <c r="P241" i="1"/>
  <c r="L205" i="1"/>
  <c r="P205" i="1"/>
  <c r="P251" i="1"/>
  <c r="L251" i="1"/>
  <c r="L146" i="1"/>
  <c r="P146" i="1"/>
  <c r="P249" i="1"/>
  <c r="L249" i="1"/>
  <c r="P159" i="1"/>
  <c r="L159" i="1"/>
  <c r="L254" i="1"/>
  <c r="P254" i="1"/>
  <c r="L225" i="1"/>
  <c r="P225" i="1"/>
  <c r="P257" i="1"/>
  <c r="L257" i="1"/>
  <c r="L250" i="1"/>
  <c r="P250" i="1"/>
  <c r="P190" i="1"/>
  <c r="L190" i="1"/>
  <c r="P202" i="1"/>
  <c r="L202" i="1"/>
  <c r="L161" i="1"/>
  <c r="P161" i="1"/>
  <c r="L240" i="1"/>
  <c r="P240" i="1"/>
  <c r="P169" i="1"/>
  <c r="L169" i="1"/>
  <c r="L239" i="1"/>
  <c r="P239" i="1"/>
  <c r="P198" i="1"/>
  <c r="L198" i="1"/>
  <c r="P216" i="1"/>
  <c r="L216" i="1"/>
  <c r="L243" i="1"/>
  <c r="P243" i="1"/>
  <c r="P211" i="1"/>
  <c r="L211" i="1"/>
  <c r="L162" i="1"/>
  <c r="P162" i="1"/>
  <c r="P176" i="1"/>
  <c r="L176" i="1"/>
  <c r="P174" i="1"/>
  <c r="L174" i="1"/>
  <c r="P173" i="1"/>
  <c r="L173" i="1"/>
  <c r="L234" i="1"/>
  <c r="P234" i="1"/>
  <c r="L193" i="1"/>
  <c r="P193" i="1"/>
  <c r="L256" i="1"/>
  <c r="P256" i="1"/>
  <c r="L235" i="1"/>
  <c r="P235" i="1"/>
  <c r="P231" i="1"/>
  <c r="L231" i="1"/>
  <c r="L232" i="1"/>
  <c r="P232" i="1"/>
  <c r="P206" i="1"/>
  <c r="L206" i="1"/>
  <c r="L195" i="1"/>
  <c r="P195" i="1"/>
  <c r="P150" i="1"/>
  <c r="L150" i="1"/>
  <c r="L261" i="1"/>
  <c r="P261" i="1"/>
  <c r="L178" i="1"/>
  <c r="P178" i="1"/>
  <c r="P167" i="1"/>
  <c r="L167" i="1"/>
  <c r="P194" i="1"/>
  <c r="L194" i="1"/>
  <c r="L200" i="1"/>
  <c r="P200" i="1"/>
  <c r="P215" i="1"/>
  <c r="L215" i="1"/>
  <c r="L209" i="1"/>
  <c r="P209" i="1"/>
  <c r="L217" i="1"/>
  <c r="P217" i="1"/>
  <c r="P210" i="1"/>
  <c r="L210" i="1"/>
  <c r="T50" i="7"/>
  <c r="V50" i="7" s="1"/>
  <c r="X50" i="7" s="1"/>
  <c r="T119" i="7"/>
  <c r="T80" i="7"/>
  <c r="V80" i="7" s="1"/>
  <c r="X80" i="7" s="1"/>
  <c r="T82" i="7"/>
  <c r="V82" i="7" s="1"/>
  <c r="X82" i="7" s="1"/>
  <c r="T127" i="7"/>
  <c r="T11" i="7"/>
  <c r="V11" i="7" s="1"/>
  <c r="X11" i="7" s="1"/>
  <c r="T56" i="7"/>
  <c r="V56" i="7" s="1"/>
  <c r="X56" i="7" s="1"/>
  <c r="T102" i="7"/>
  <c r="V102" i="7" s="1"/>
  <c r="X102" i="7" s="1"/>
  <c r="T63" i="7"/>
  <c r="V63" i="7" s="1"/>
  <c r="X63" i="7" s="1"/>
  <c r="T20" i="7"/>
  <c r="V20" i="7" s="1"/>
  <c r="X20" i="7" s="1"/>
  <c r="T115" i="7"/>
  <c r="T59" i="7"/>
  <c r="V59" i="7" s="1"/>
  <c r="X59" i="7" s="1"/>
  <c r="T71" i="7"/>
  <c r="V71" i="7" s="1"/>
  <c r="X71" i="7" s="1"/>
  <c r="T125" i="7"/>
  <c r="T129" i="7"/>
  <c r="T76" i="7"/>
  <c r="V76" i="7" s="1"/>
  <c r="X76" i="7" s="1"/>
  <c r="T27" i="7"/>
  <c r="V27" i="7" s="1"/>
  <c r="X27" i="7" s="1"/>
  <c r="T69" i="7"/>
  <c r="V69" i="7" s="1"/>
  <c r="X69" i="7" s="1"/>
  <c r="T52" i="7"/>
  <c r="V52" i="7" s="1"/>
  <c r="X52" i="7" s="1"/>
  <c r="T74" i="7"/>
  <c r="V74" i="7" s="1"/>
  <c r="X74" i="7" s="1"/>
  <c r="T122" i="7"/>
  <c r="T120" i="7"/>
  <c r="T86" i="7"/>
  <c r="V86" i="7" s="1"/>
  <c r="X86" i="7" s="1"/>
  <c r="T142" i="7"/>
  <c r="T51" i="7"/>
  <c r="V51" i="7" s="1"/>
  <c r="X51" i="7" s="1"/>
  <c r="T124" i="7"/>
  <c r="T35" i="7"/>
  <c r="V35" i="7" s="1"/>
  <c r="X35" i="7" s="1"/>
  <c r="T39" i="7"/>
  <c r="V39" i="7" s="1"/>
  <c r="X39" i="7" s="1"/>
  <c r="T15" i="7"/>
  <c r="V15" i="7" s="1"/>
  <c r="X15" i="7" s="1"/>
  <c r="T9" i="7"/>
  <c r="V9" i="7" s="1"/>
  <c r="X9" i="7" s="1"/>
  <c r="T23" i="7"/>
  <c r="V23" i="7" s="1"/>
  <c r="X23" i="7" s="1"/>
  <c r="T77" i="7"/>
  <c r="V77" i="7" s="1"/>
  <c r="X77" i="7" s="1"/>
  <c r="T65" i="7"/>
  <c r="V65" i="7" s="1"/>
  <c r="X65" i="7" s="1"/>
  <c r="T67" i="7"/>
  <c r="V67" i="7" s="1"/>
  <c r="X67" i="7" s="1"/>
  <c r="T93" i="7"/>
  <c r="V93" i="7" s="1"/>
  <c r="X93" i="7" s="1"/>
  <c r="T8" i="7"/>
  <c r="V8" i="7" s="1"/>
  <c r="X8" i="7" s="1"/>
  <c r="T109" i="7"/>
  <c r="T70" i="7"/>
  <c r="V70" i="7" s="1"/>
  <c r="X70" i="7" s="1"/>
  <c r="T101" i="7"/>
  <c r="V101" i="7" s="1"/>
  <c r="X101" i="7" s="1"/>
  <c r="T78" i="7"/>
  <c r="V78" i="7" s="1"/>
  <c r="X78" i="7" s="1"/>
  <c r="T143" i="7"/>
  <c r="T38" i="7"/>
  <c r="V38" i="7" s="1"/>
  <c r="X38" i="7" s="1"/>
  <c r="T16" i="7"/>
  <c r="V16" i="7" s="1"/>
  <c r="X16" i="7" s="1"/>
  <c r="T112" i="7"/>
  <c r="T103" i="7"/>
  <c r="V103" i="7" s="1"/>
  <c r="X103" i="7" s="1"/>
  <c r="T123" i="7"/>
  <c r="T107" i="7"/>
  <c r="T128" i="7"/>
  <c r="T61" i="7"/>
  <c r="V61" i="7" s="1"/>
  <c r="X61" i="7" s="1"/>
  <c r="T22" i="7"/>
  <c r="V22" i="7" s="1"/>
  <c r="X22" i="7" s="1"/>
  <c r="T135" i="7"/>
  <c r="T34" i="7"/>
  <c r="V34" i="7" s="1"/>
  <c r="X34" i="7" s="1"/>
  <c r="T44" i="7"/>
  <c r="V44" i="7" s="1"/>
  <c r="X44" i="7" s="1"/>
  <c r="T126" i="7"/>
  <c r="T62" i="7"/>
  <c r="V62" i="7" s="1"/>
  <c r="X62" i="7" s="1"/>
  <c r="T106" i="7"/>
  <c r="T68" i="7"/>
  <c r="V68" i="7" s="1"/>
  <c r="X68" i="7" s="1"/>
  <c r="T85" i="7"/>
  <c r="V85" i="7" s="1"/>
  <c r="X85" i="7" s="1"/>
  <c r="T45" i="7"/>
  <c r="V45" i="7" s="1"/>
  <c r="X45" i="7" s="1"/>
  <c r="T48" i="7"/>
  <c r="V48" i="7" s="1"/>
  <c r="X48" i="7" s="1"/>
  <c r="T25" i="7"/>
  <c r="V25" i="7" s="1"/>
  <c r="X25" i="7" s="1"/>
  <c r="T14" i="7"/>
  <c r="V14" i="7" s="1"/>
  <c r="X14" i="7" s="1"/>
  <c r="T42" i="7"/>
  <c r="V42" i="7" s="1"/>
  <c r="X42" i="7" s="1"/>
  <c r="T75" i="7"/>
  <c r="V75" i="7" s="1"/>
  <c r="X75" i="7" s="1"/>
  <c r="T95" i="7"/>
  <c r="V95" i="7" s="1"/>
  <c r="X95" i="7" s="1"/>
  <c r="T17" i="7"/>
  <c r="V17" i="7" s="1"/>
  <c r="X17" i="7" s="1"/>
  <c r="T72" i="7"/>
  <c r="V72" i="7" s="1"/>
  <c r="X72" i="7" s="1"/>
  <c r="T88" i="7"/>
  <c r="V88" i="7" s="1"/>
  <c r="X88" i="7" s="1"/>
  <c r="T91" i="7"/>
  <c r="V91" i="7" s="1"/>
  <c r="X91" i="7" s="1"/>
  <c r="T83" i="7"/>
  <c r="V83" i="7" s="1"/>
  <c r="X83" i="7" s="1"/>
  <c r="T132" i="7"/>
  <c r="T10" i="7"/>
  <c r="V10" i="7" s="1"/>
  <c r="X10" i="7" s="1"/>
  <c r="T130" i="7"/>
  <c r="T58" i="7"/>
  <c r="V58" i="7" s="1"/>
  <c r="X58" i="7" s="1"/>
  <c r="T94" i="7"/>
  <c r="V94" i="7" s="1"/>
  <c r="X94" i="7" s="1"/>
  <c r="Z261" i="7"/>
  <c r="T121" i="7"/>
  <c r="T137" i="7"/>
  <c r="T110" i="7"/>
  <c r="T19" i="7"/>
  <c r="V19" i="7" s="1"/>
  <c r="X19" i="7" s="1"/>
  <c r="T104" i="7"/>
  <c r="V104" i="7" s="1"/>
  <c r="X104" i="7" s="1"/>
  <c r="T24" i="7"/>
  <c r="V24" i="7" s="1"/>
  <c r="X24" i="7" s="1"/>
  <c r="T64" i="7"/>
  <c r="V64" i="7" s="1"/>
  <c r="X64" i="7" s="1"/>
  <c r="T118" i="7"/>
  <c r="T57" i="7"/>
  <c r="V57" i="7" s="1"/>
  <c r="X57" i="7" s="1"/>
  <c r="T46" i="7"/>
  <c r="V46" i="7" s="1"/>
  <c r="X46" i="7" s="1"/>
  <c r="T99" i="7"/>
  <c r="V99" i="7" s="1"/>
  <c r="X99" i="7" s="1"/>
  <c r="T26" i="7"/>
  <c r="V26" i="7" s="1"/>
  <c r="X26" i="7" s="1"/>
  <c r="T13" i="7"/>
  <c r="V13" i="7" s="1"/>
  <c r="X13" i="7" s="1"/>
  <c r="T37" i="7"/>
  <c r="V37" i="7" s="1"/>
  <c r="X37" i="7" s="1"/>
  <c r="T97" i="7"/>
  <c r="V97" i="7" s="1"/>
  <c r="X97" i="7" s="1"/>
  <c r="T60" i="7"/>
  <c r="V60" i="7" s="1"/>
  <c r="X60" i="7" s="1"/>
  <c r="T87" i="7"/>
  <c r="V87" i="7" s="1"/>
  <c r="X87" i="7" s="1"/>
  <c r="T141" i="7"/>
  <c r="T116" i="7"/>
  <c r="T66" i="7"/>
  <c r="V66" i="7" s="1"/>
  <c r="X66" i="7" s="1"/>
  <c r="T133" i="7"/>
  <c r="T136" i="7"/>
  <c r="T30" i="7"/>
  <c r="V30" i="7" s="1"/>
  <c r="X30" i="7" s="1"/>
  <c r="T28" i="7"/>
  <c r="V28" i="7" s="1"/>
  <c r="X28" i="7" s="1"/>
  <c r="T41" i="7"/>
  <c r="V41" i="7" s="1"/>
  <c r="X41" i="7" s="1"/>
  <c r="T33" i="7"/>
  <c r="V33" i="7" s="1"/>
  <c r="X33" i="7" s="1"/>
  <c r="T90" i="7"/>
  <c r="V90" i="7" s="1"/>
  <c r="X90" i="7" s="1"/>
  <c r="T12" i="7"/>
  <c r="V12" i="7" s="1"/>
  <c r="X12" i="7" s="1"/>
  <c r="T55" i="7"/>
  <c r="V55" i="7" s="1"/>
  <c r="X55" i="7" s="1"/>
  <c r="T43" i="7"/>
  <c r="V43" i="7" s="1"/>
  <c r="X43" i="7" s="1"/>
  <c r="T18" i="7"/>
  <c r="V18" i="7" s="1"/>
  <c r="X18" i="7" s="1"/>
  <c r="T54" i="7"/>
  <c r="V54" i="7" s="1"/>
  <c r="X54" i="7" s="1"/>
  <c r="T131" i="7"/>
  <c r="T117" i="7"/>
  <c r="T134" i="7"/>
  <c r="T81" i="7"/>
  <c r="V81" i="7" s="1"/>
  <c r="X81" i="7" s="1"/>
  <c r="T53" i="7"/>
  <c r="V53" i="7" s="1"/>
  <c r="X53" i="7" s="1"/>
  <c r="T21" i="7"/>
  <c r="V21" i="7" s="1"/>
  <c r="X21" i="7" s="1"/>
  <c r="T7" i="7"/>
  <c r="V7" i="7" s="1"/>
  <c r="X7" i="7" s="1"/>
  <c r="T96" i="7"/>
  <c r="V96" i="7" s="1"/>
  <c r="X96" i="7" s="1"/>
  <c r="T49" i="7"/>
  <c r="V49" i="7" s="1"/>
  <c r="X49" i="7" s="1"/>
  <c r="T84" i="7"/>
  <c r="V84" i="7" s="1"/>
  <c r="X84" i="7" s="1"/>
  <c r="T92" i="7"/>
  <c r="V92" i="7" s="1"/>
  <c r="X92" i="7" s="1"/>
  <c r="T36" i="7"/>
  <c r="V36" i="7" s="1"/>
  <c r="X36" i="7" s="1"/>
  <c r="T29" i="7"/>
  <c r="V29" i="7" s="1"/>
  <c r="X29" i="7" s="1"/>
  <c r="T113" i="7"/>
  <c r="T47" i="7"/>
  <c r="V47" i="7" s="1"/>
  <c r="X47" i="7" s="1"/>
  <c r="T40" i="7"/>
  <c r="V40" i="7" s="1"/>
  <c r="X40" i="7" s="1"/>
  <c r="T79" i="7"/>
  <c r="V79" i="7" s="1"/>
  <c r="X79" i="7" s="1"/>
  <c r="T114" i="7"/>
  <c r="T111" i="7"/>
  <c r="T108" i="7"/>
  <c r="T98" i="7"/>
  <c r="V98" i="7" s="1"/>
  <c r="X98" i="7" s="1"/>
  <c r="T100" i="7"/>
  <c r="V100" i="7" s="1"/>
  <c r="X100" i="7" s="1"/>
  <c r="T73" i="7"/>
  <c r="V73" i="7" s="1"/>
  <c r="X73" i="7" s="1"/>
  <c r="D157" i="8"/>
  <c r="D234" i="8"/>
  <c r="D177" i="8"/>
  <c r="D209" i="8"/>
  <c r="D188" i="8"/>
  <c r="D229" i="8"/>
  <c r="D196" i="8"/>
  <c r="D207" i="8"/>
  <c r="D187" i="8"/>
  <c r="D228" i="8"/>
  <c r="D226" i="8"/>
  <c r="D253" i="8"/>
  <c r="D149" i="8"/>
  <c r="D153" i="8"/>
  <c r="D181" i="8"/>
  <c r="D171" i="8"/>
  <c r="D248" i="8"/>
  <c r="D242" i="8"/>
  <c r="D241" i="8"/>
  <c r="D155" i="8"/>
  <c r="D231" i="8"/>
  <c r="D204" i="8"/>
  <c r="D198" i="8"/>
  <c r="D146" i="8"/>
  <c r="D254" i="8"/>
  <c r="D232" i="8"/>
  <c r="D250" i="8"/>
  <c r="D190" i="8"/>
  <c r="D202" i="8"/>
  <c r="D161" i="8"/>
  <c r="D240" i="8"/>
  <c r="D210" i="8"/>
  <c r="D220" i="8"/>
  <c r="D219" i="8"/>
  <c r="D184" i="8"/>
  <c r="D227" i="8"/>
  <c r="D160" i="8"/>
  <c r="D221" i="8"/>
  <c r="D233" i="8"/>
  <c r="D182" i="8"/>
  <c r="D230" i="8"/>
  <c r="D255" i="8"/>
  <c r="D224" i="8"/>
  <c r="D145" i="8"/>
  <c r="D183" i="8"/>
  <c r="D147" i="8"/>
  <c r="D214" i="8"/>
  <c r="D191" i="8"/>
  <c r="E141" i="1"/>
  <c r="H141" i="1" s="1"/>
  <c r="D164" i="8"/>
  <c r="D148" i="8"/>
  <c r="D244" i="8"/>
  <c r="D247" i="8"/>
  <c r="D252" i="8"/>
  <c r="D154" i="8"/>
  <c r="D180" i="8"/>
  <c r="D259" i="8"/>
  <c r="D223" i="8"/>
  <c r="D246" i="8"/>
  <c r="D151" i="8"/>
  <c r="D225" i="8"/>
  <c r="D165" i="8"/>
  <c r="D257" i="8"/>
  <c r="D249" i="8"/>
  <c r="D216" i="8"/>
  <c r="D206" i="8"/>
  <c r="D195" i="8"/>
  <c r="D150" i="8"/>
  <c r="D243" i="8"/>
  <c r="D211" i="8"/>
  <c r="D162" i="8"/>
  <c r="D176" i="8"/>
  <c r="D169" i="8"/>
  <c r="D217" i="8"/>
  <c r="D186" i="8"/>
  <c r="D218" i="8"/>
  <c r="D222" i="8"/>
  <c r="D192" i="8"/>
  <c r="D193" i="8"/>
  <c r="D185" i="8"/>
  <c r="D166" i="8"/>
  <c r="D197" i="8"/>
  <c r="D168" i="8"/>
  <c r="D245" i="8"/>
  <c r="D189" i="8"/>
  <c r="D175" i="8"/>
  <c r="D152" i="8"/>
  <c r="D179" i="8"/>
  <c r="D203" i="8"/>
  <c r="E142" i="1"/>
  <c r="H142" i="1" s="1"/>
  <c r="S142" i="1" s="1"/>
  <c r="D170" i="8"/>
  <c r="D237" i="8"/>
  <c r="D238" i="8"/>
  <c r="D236" i="8"/>
  <c r="D208" i="8"/>
  <c r="D256" i="8"/>
  <c r="E140" i="1"/>
  <c r="D235" i="8"/>
  <c r="D163" i="8"/>
  <c r="D205" i="8"/>
  <c r="D239" i="8"/>
  <c r="D251" i="8"/>
  <c r="D201" i="8"/>
  <c r="E143" i="1"/>
  <c r="H143" i="1" s="1"/>
  <c r="D172" i="8"/>
  <c r="D159" i="8"/>
  <c r="D173" i="8"/>
  <c r="D199" i="8"/>
  <c r="D215" i="8"/>
  <c r="D178" i="8"/>
  <c r="D167" i="8"/>
  <c r="D194" i="8"/>
  <c r="D200" i="8"/>
  <c r="D174" i="8"/>
  <c r="H138" i="1"/>
  <c r="H139" i="1"/>
  <c r="AB5" i="7"/>
  <c r="E5" i="1"/>
  <c r="H5" i="1" s="1"/>
  <c r="J5" i="1" s="1"/>
  <c r="P5" i="1" s="1"/>
  <c r="R262" i="7"/>
  <c r="E11" i="1"/>
  <c r="H11" i="1" s="1"/>
  <c r="J11" i="1" s="1"/>
  <c r="E94" i="1"/>
  <c r="H94" i="1" s="1"/>
  <c r="J94" i="1" s="1"/>
  <c r="R264" i="7"/>
  <c r="E15" i="1"/>
  <c r="H15" i="1" s="1"/>
  <c r="E99" i="1"/>
  <c r="H99" i="1" s="1"/>
  <c r="J99" i="1" s="1"/>
  <c r="E117" i="1"/>
  <c r="H117" i="1" s="1"/>
  <c r="J117" i="1" s="1"/>
  <c r="E17" i="1"/>
  <c r="H17" i="1" s="1"/>
  <c r="J17" i="1" s="1"/>
  <c r="E44" i="1"/>
  <c r="H44" i="1" s="1"/>
  <c r="E80" i="1"/>
  <c r="H80" i="1" s="1"/>
  <c r="E10" i="1"/>
  <c r="H10" i="1" s="1"/>
  <c r="E76" i="1"/>
  <c r="H76" i="1" s="1"/>
  <c r="E52" i="1"/>
  <c r="H52" i="1" s="1"/>
  <c r="J52" i="1" s="1"/>
  <c r="E50" i="1"/>
  <c r="H50" i="1" s="1"/>
  <c r="E30" i="1"/>
  <c r="H30" i="1" s="1"/>
  <c r="J30" i="1" s="1"/>
  <c r="E48" i="1"/>
  <c r="H48" i="1" s="1"/>
  <c r="E19" i="1"/>
  <c r="H19" i="1" s="1"/>
  <c r="J19" i="1" s="1"/>
  <c r="E26" i="1"/>
  <c r="H26" i="1" s="1"/>
  <c r="E114" i="1"/>
  <c r="H114" i="1" s="1"/>
  <c r="J114" i="1" s="1"/>
  <c r="E36" i="1"/>
  <c r="H36" i="1" s="1"/>
  <c r="J36" i="1" s="1"/>
  <c r="E92" i="1"/>
  <c r="H92" i="1" s="1"/>
  <c r="E87" i="1"/>
  <c r="H87" i="1" s="1"/>
  <c r="J87" i="1" s="1"/>
  <c r="E116" i="1"/>
  <c r="H116" i="1" s="1"/>
  <c r="E77" i="1"/>
  <c r="H77" i="1" s="1"/>
  <c r="E110" i="1"/>
  <c r="H110" i="1" s="1"/>
  <c r="J110" i="1" s="1"/>
  <c r="E88" i="1"/>
  <c r="H88" i="1" s="1"/>
  <c r="J88" i="1" s="1"/>
  <c r="E8" i="1"/>
  <c r="H8" i="1" s="1"/>
  <c r="E108" i="1"/>
  <c r="H108" i="1" s="1"/>
  <c r="J108" i="1" s="1"/>
  <c r="E107" i="1"/>
  <c r="H107" i="1" s="1"/>
  <c r="E98" i="1"/>
  <c r="H98" i="1" s="1"/>
  <c r="J98" i="1" s="1"/>
  <c r="E90" i="1"/>
  <c r="H90" i="1" s="1"/>
  <c r="J90" i="1" s="1"/>
  <c r="E72" i="1"/>
  <c r="H72" i="1" s="1"/>
  <c r="J72" i="1" s="1"/>
  <c r="E29" i="1"/>
  <c r="H29" i="1" s="1"/>
  <c r="E128" i="1"/>
  <c r="H128" i="1" s="1"/>
  <c r="E24" i="1"/>
  <c r="H24" i="1" s="1"/>
  <c r="J24" i="1" s="1"/>
  <c r="E129" i="1"/>
  <c r="H129" i="1" s="1"/>
  <c r="E137" i="1"/>
  <c r="H137" i="1" s="1"/>
  <c r="E25" i="1"/>
  <c r="H25" i="1" s="1"/>
  <c r="E73" i="1"/>
  <c r="H73" i="1" s="1"/>
  <c r="E43" i="1"/>
  <c r="H43" i="1" s="1"/>
  <c r="E75" i="1"/>
  <c r="H75" i="1" s="1"/>
  <c r="E126" i="1"/>
  <c r="H126" i="1" s="1"/>
  <c r="E103" i="1"/>
  <c r="H103" i="1" s="1"/>
  <c r="E66" i="1"/>
  <c r="H66" i="1" s="1"/>
  <c r="E102" i="1"/>
  <c r="H102" i="1" s="1"/>
  <c r="E101" i="1"/>
  <c r="H101" i="1" s="1"/>
  <c r="J101" i="1" s="1"/>
  <c r="E65" i="1"/>
  <c r="H65" i="1" s="1"/>
  <c r="E14" i="1"/>
  <c r="H14" i="1" s="1"/>
  <c r="J14" i="1" s="1"/>
  <c r="E70" i="1"/>
  <c r="H70" i="1" s="1"/>
  <c r="E91" i="1"/>
  <c r="H91" i="1" s="1"/>
  <c r="J91" i="1" s="1"/>
  <c r="E118" i="1"/>
  <c r="H118" i="1" s="1"/>
  <c r="E112" i="1"/>
  <c r="H112" i="1" s="1"/>
  <c r="E40" i="1"/>
  <c r="H40" i="1" s="1"/>
  <c r="J40" i="1" s="1"/>
  <c r="E109" i="1"/>
  <c r="H109" i="1" s="1"/>
  <c r="E58" i="1"/>
  <c r="H58" i="1" s="1"/>
  <c r="J58" i="1" s="1"/>
  <c r="L58" i="1" s="1"/>
  <c r="E33" i="1"/>
  <c r="H33" i="1" s="1"/>
  <c r="J33" i="1" s="1"/>
  <c r="E53" i="1"/>
  <c r="H53" i="1" s="1"/>
  <c r="E12" i="1"/>
  <c r="H12" i="1" s="1"/>
  <c r="J12" i="1" s="1"/>
  <c r="E61" i="1"/>
  <c r="H61" i="1" s="1"/>
  <c r="J61" i="1" s="1"/>
  <c r="E13" i="1"/>
  <c r="H13" i="1" s="1"/>
  <c r="E86" i="1"/>
  <c r="H86" i="1" s="1"/>
  <c r="E136" i="1"/>
  <c r="H136" i="1" s="1"/>
  <c r="S136" i="1" s="1"/>
  <c r="E27" i="1"/>
  <c r="H27" i="1" s="1"/>
  <c r="E54" i="1"/>
  <c r="H54" i="1" s="1"/>
  <c r="J54" i="1" s="1"/>
  <c r="E41" i="1"/>
  <c r="H41" i="1" s="1"/>
  <c r="E130" i="1"/>
  <c r="H130" i="1" s="1"/>
  <c r="E68" i="1"/>
  <c r="H68" i="1" s="1"/>
  <c r="J68" i="1" s="1"/>
  <c r="E23" i="1"/>
  <c r="H23" i="1" s="1"/>
  <c r="E60" i="1"/>
  <c r="H60" i="1" s="1"/>
  <c r="J60" i="1" s="1"/>
  <c r="F60" i="8" s="1"/>
  <c r="E9" i="1"/>
  <c r="H9" i="1" s="1"/>
  <c r="J9" i="1" s="1"/>
  <c r="E71" i="1"/>
  <c r="H71" i="1" s="1"/>
  <c r="J71" i="1" s="1"/>
  <c r="E7" i="1"/>
  <c r="H7" i="1" s="1"/>
  <c r="E115" i="1"/>
  <c r="H115" i="1" s="1"/>
  <c r="E56" i="1"/>
  <c r="E32" i="1"/>
  <c r="H32" i="1" s="1"/>
  <c r="J32" i="1" s="1"/>
  <c r="E119" i="1"/>
  <c r="H119" i="1" s="1"/>
  <c r="J119" i="1" s="1"/>
  <c r="E121" i="1"/>
  <c r="H121" i="1" s="1"/>
  <c r="J121" i="1" s="1"/>
  <c r="E67" i="1"/>
  <c r="H67" i="1" s="1"/>
  <c r="J67" i="1" s="1"/>
  <c r="E59" i="1"/>
  <c r="H59" i="1" s="1"/>
  <c r="J59" i="1" s="1"/>
  <c r="E47" i="1"/>
  <c r="H47" i="1" s="1"/>
  <c r="E134" i="1"/>
  <c r="H134" i="1" s="1"/>
  <c r="J134" i="1" s="1"/>
  <c r="E57" i="1"/>
  <c r="H57" i="1" s="1"/>
  <c r="E42" i="1"/>
  <c r="H42" i="1" s="1"/>
  <c r="J42" i="1" s="1"/>
  <c r="E124" i="1"/>
  <c r="H124" i="1" s="1"/>
  <c r="J124" i="1" s="1"/>
  <c r="E100" i="1"/>
  <c r="E123" i="1"/>
  <c r="H123" i="1" s="1"/>
  <c r="J123" i="1" s="1"/>
  <c r="E83" i="1"/>
  <c r="H83" i="1" s="1"/>
  <c r="E69" i="1"/>
  <c r="H69" i="1" s="1"/>
  <c r="J69" i="1" s="1"/>
  <c r="E18" i="1"/>
  <c r="H18" i="1" s="1"/>
  <c r="J18" i="1" s="1"/>
  <c r="E34" i="1"/>
  <c r="H34" i="1" s="1"/>
  <c r="J34" i="1" s="1"/>
  <c r="E93" i="1"/>
  <c r="H93" i="1" s="1"/>
  <c r="J93" i="1" s="1"/>
  <c r="E39" i="1"/>
  <c r="H39" i="1" s="1"/>
  <c r="E96" i="1"/>
  <c r="H96" i="1" s="1"/>
  <c r="E132" i="1"/>
  <c r="H132" i="1" s="1"/>
  <c r="J132" i="1" s="1"/>
  <c r="E97" i="1"/>
  <c r="H97" i="1" s="1"/>
  <c r="E21" i="1"/>
  <c r="H21" i="1" s="1"/>
  <c r="J21" i="1" s="1"/>
  <c r="E20" i="1"/>
  <c r="H20" i="1" s="1"/>
  <c r="E106" i="1"/>
  <c r="H106" i="1" s="1"/>
  <c r="E6" i="1"/>
  <c r="E111" i="1"/>
  <c r="H111" i="1" s="1"/>
  <c r="J111" i="1" s="1"/>
  <c r="E55" i="1"/>
  <c r="H55" i="1" s="1"/>
  <c r="J55" i="1" s="1"/>
  <c r="E120" i="1"/>
  <c r="H120" i="1" s="1"/>
  <c r="E22" i="1"/>
  <c r="H22" i="1" s="1"/>
  <c r="J22" i="1" s="1"/>
  <c r="E89" i="1"/>
  <c r="H89" i="1" s="1"/>
  <c r="S89" i="1" s="1"/>
  <c r="E85" i="1"/>
  <c r="H85" i="1" s="1"/>
  <c r="J85" i="1" s="1"/>
  <c r="E95" i="1"/>
  <c r="H95" i="1" s="1"/>
  <c r="J95" i="1" s="1"/>
  <c r="E46" i="1"/>
  <c r="H46" i="1" s="1"/>
  <c r="E78" i="1"/>
  <c r="H78" i="1" s="1"/>
  <c r="E81" i="1"/>
  <c r="H81" i="1" s="1"/>
  <c r="J81" i="1" s="1"/>
  <c r="E16" i="1"/>
  <c r="H16" i="1" s="1"/>
  <c r="E37" i="1"/>
  <c r="H37" i="1" s="1"/>
  <c r="J37" i="1" s="1"/>
  <c r="E84" i="1"/>
  <c r="H84" i="1" s="1"/>
  <c r="E28" i="1"/>
  <c r="H28" i="1" s="1"/>
  <c r="E74" i="1"/>
  <c r="H74" i="1" s="1"/>
  <c r="J74" i="1" s="1"/>
  <c r="E49" i="1"/>
  <c r="H49" i="1" s="1"/>
  <c r="J49" i="1" s="1"/>
  <c r="E82" i="1"/>
  <c r="H82" i="1" s="1"/>
  <c r="J82" i="1" s="1"/>
  <c r="E35" i="1"/>
  <c r="H35" i="1" s="1"/>
  <c r="E79" i="1"/>
  <c r="H79" i="1" s="1"/>
  <c r="E127" i="1"/>
  <c r="H127" i="1" s="1"/>
  <c r="E51" i="1"/>
  <c r="H51" i="1" s="1"/>
  <c r="E131" i="1"/>
  <c r="H131" i="1" s="1"/>
  <c r="E104" i="1"/>
  <c r="H104" i="1" s="1"/>
  <c r="E63" i="1"/>
  <c r="H63" i="1" s="1"/>
  <c r="E38" i="1"/>
  <c r="H38" i="1" s="1"/>
  <c r="J38" i="1" s="1"/>
  <c r="E113" i="1"/>
  <c r="H113" i="1" s="1"/>
  <c r="E64" i="1"/>
  <c r="H64" i="1" s="1"/>
  <c r="E122" i="1"/>
  <c r="H122" i="1" s="1"/>
  <c r="J122" i="1" s="1"/>
  <c r="E135" i="1"/>
  <c r="H135" i="1" s="1"/>
  <c r="E62" i="1"/>
  <c r="H62" i="1" s="1"/>
  <c r="J62" i="1" s="1"/>
  <c r="E133" i="1"/>
  <c r="H133" i="1" s="1"/>
  <c r="E45" i="1"/>
  <c r="H45" i="1" s="1"/>
  <c r="J45" i="1" s="1"/>
  <c r="E125" i="1"/>
  <c r="H125" i="1" s="1"/>
  <c r="V132" i="7" l="1"/>
  <c r="X132" i="7" s="1"/>
  <c r="AB132" i="7" s="1"/>
  <c r="V127" i="7"/>
  <c r="X127" i="7" s="1"/>
  <c r="AB127" i="7" s="1"/>
  <c r="V118" i="7"/>
  <c r="X118" i="7" s="1"/>
  <c r="AB118" i="7" s="1"/>
  <c r="V135" i="7"/>
  <c r="X135" i="7" s="1"/>
  <c r="AB135" i="7" s="1"/>
  <c r="V136" i="7"/>
  <c r="X136" i="7" s="1"/>
  <c r="AB136" i="7" s="1"/>
  <c r="V128" i="7"/>
  <c r="X128" i="7" s="1"/>
  <c r="Z128" i="7" s="1"/>
  <c r="V134" i="7"/>
  <c r="X134" i="7" s="1"/>
  <c r="AB134" i="7" s="1"/>
  <c r="V129" i="7"/>
  <c r="X129" i="7" s="1"/>
  <c r="Z129" i="7" s="1"/>
  <c r="V114" i="7"/>
  <c r="X114" i="7" s="1"/>
  <c r="AB114" i="7" s="1"/>
  <c r="V141" i="7"/>
  <c r="V137" i="7"/>
  <c r="X137" i="7" s="1"/>
  <c r="Z137" i="7" s="1"/>
  <c r="V123" i="7"/>
  <c r="X123" i="7" s="1"/>
  <c r="AB123" i="7" s="1"/>
  <c r="V121" i="7"/>
  <c r="X121" i="7" s="1"/>
  <c r="AB121" i="7" s="1"/>
  <c r="V112" i="7"/>
  <c r="X112" i="7" s="1"/>
  <c r="AB112" i="7" s="1"/>
  <c r="V113" i="7"/>
  <c r="X113" i="7" s="1"/>
  <c r="Z113" i="7" s="1"/>
  <c r="V124" i="7"/>
  <c r="X124" i="7" s="1"/>
  <c r="Z124" i="7" s="1"/>
  <c r="V126" i="7"/>
  <c r="X126" i="7" s="1"/>
  <c r="AB126" i="7" s="1"/>
  <c r="V109" i="7"/>
  <c r="X109" i="7" s="1"/>
  <c r="AB109" i="7" s="1"/>
  <c r="V133" i="7"/>
  <c r="X133" i="7" s="1"/>
  <c r="AB133" i="7" s="1"/>
  <c r="V111" i="7"/>
  <c r="X111" i="7" s="1"/>
  <c r="AB111" i="7" s="1"/>
  <c r="V116" i="7"/>
  <c r="X116" i="7" s="1"/>
  <c r="Z116" i="7" s="1"/>
  <c r="V110" i="7"/>
  <c r="X110" i="7" s="1"/>
  <c r="Z110" i="7" s="1"/>
  <c r="V107" i="7"/>
  <c r="X107" i="7" s="1"/>
  <c r="Z107" i="7" s="1"/>
  <c r="V117" i="7"/>
  <c r="X117" i="7" s="1"/>
  <c r="AB117" i="7" s="1"/>
  <c r="V125" i="7"/>
  <c r="X125" i="7" s="1"/>
  <c r="AB125" i="7" s="1"/>
  <c r="V131" i="7"/>
  <c r="X131" i="7" s="1"/>
  <c r="AB131" i="7" s="1"/>
  <c r="V115" i="7"/>
  <c r="X115" i="7" s="1"/>
  <c r="AB115" i="7" s="1"/>
  <c r="V130" i="7"/>
  <c r="X130" i="7" s="1"/>
  <c r="AB130" i="7" s="1"/>
  <c r="V143" i="7"/>
  <c r="X143" i="7" s="1"/>
  <c r="Z143" i="7" s="1"/>
  <c r="V120" i="7"/>
  <c r="X120" i="7" s="1"/>
  <c r="Z120" i="7" s="1"/>
  <c r="V122" i="7"/>
  <c r="X122" i="7" s="1"/>
  <c r="Z122" i="7" s="1"/>
  <c r="V119" i="7"/>
  <c r="X119" i="7" s="1"/>
  <c r="Z119" i="7" s="1"/>
  <c r="V108" i="7"/>
  <c r="X108" i="7" s="1"/>
  <c r="AB108" i="7" s="1"/>
  <c r="V106" i="7"/>
  <c r="X106" i="7" s="1"/>
  <c r="AB106" i="7" s="1"/>
  <c r="V142" i="7"/>
  <c r="X142" i="7" s="1"/>
  <c r="AB142" i="7" s="1"/>
  <c r="Z166" i="7"/>
  <c r="Z217" i="7"/>
  <c r="Z206" i="7"/>
  <c r="Z162" i="7"/>
  <c r="Z240" i="7"/>
  <c r="Z180" i="7"/>
  <c r="Z229" i="7"/>
  <c r="Z255" i="7"/>
  <c r="Z174" i="7"/>
  <c r="Z243" i="7"/>
  <c r="Z186" i="7"/>
  <c r="Z230" i="7"/>
  <c r="Z181" i="7"/>
  <c r="Z152" i="7"/>
  <c r="Z203" i="7"/>
  <c r="Z194" i="7"/>
  <c r="Z244" i="7"/>
  <c r="Z156" i="7"/>
  <c r="Z165" i="7"/>
  <c r="Z258" i="7"/>
  <c r="Z222" i="7"/>
  <c r="Z252" i="7"/>
  <c r="Z221" i="7"/>
  <c r="Z232" i="7"/>
  <c r="Z201" i="7"/>
  <c r="Z148" i="7"/>
  <c r="Z214" i="7"/>
  <c r="Z145" i="7"/>
  <c r="Z163" i="7"/>
  <c r="Z235" i="7"/>
  <c r="Z198" i="7"/>
  <c r="Z211" i="7"/>
  <c r="Z219" i="7"/>
  <c r="Z215" i="7"/>
  <c r="Z236" i="7"/>
  <c r="Z227" i="7"/>
  <c r="Z172" i="7"/>
  <c r="Z173" i="7"/>
  <c r="Z246" i="7"/>
  <c r="Z212" i="7"/>
  <c r="Z170" i="7"/>
  <c r="Z226" i="7"/>
  <c r="Z234" i="7"/>
  <c r="Z204" i="7"/>
  <c r="Z259" i="7"/>
  <c r="Z167" i="7"/>
  <c r="Z225" i="7"/>
  <c r="Z193" i="7"/>
  <c r="Z164" i="7"/>
  <c r="Z175" i="7"/>
  <c r="Z245" i="7"/>
  <c r="Z185" i="7"/>
  <c r="Z159" i="7"/>
  <c r="Z188" i="7"/>
  <c r="Z205" i="7"/>
  <c r="Z151" i="7"/>
  <c r="Z149" i="7"/>
  <c r="Z178" i="7"/>
  <c r="Z147" i="7"/>
  <c r="Z247" i="7"/>
  <c r="Z207" i="7"/>
  <c r="Z208" i="7"/>
  <c r="Z146" i="7"/>
  <c r="Z210" i="7"/>
  <c r="Z196" i="7"/>
  <c r="Z171" i="7"/>
  <c r="Z248" i="7"/>
  <c r="Z169" i="7"/>
  <c r="Z241" i="7"/>
  <c r="Z233" i="7"/>
  <c r="Z158" i="7"/>
  <c r="Z192" i="7"/>
  <c r="Z257" i="7"/>
  <c r="Z209" i="7"/>
  <c r="Z253" i="7"/>
  <c r="Z200" i="7"/>
  <c r="Z168" i="7"/>
  <c r="Z161" i="7"/>
  <c r="Z260" i="7"/>
  <c r="Z220" i="7"/>
  <c r="Z187" i="7"/>
  <c r="Z183" i="7"/>
  <c r="Z189" i="7"/>
  <c r="Z190" i="7"/>
  <c r="Z195" i="7"/>
  <c r="Z218" i="7"/>
  <c r="Z250" i="7"/>
  <c r="Z256" i="7"/>
  <c r="Z179" i="7"/>
  <c r="Z184" i="7"/>
  <c r="Z197" i="7"/>
  <c r="Z224" i="7"/>
  <c r="Z249" i="7"/>
  <c r="Z254" i="7"/>
  <c r="Z238" i="7"/>
  <c r="Z237" i="7"/>
  <c r="Z160" i="7"/>
  <c r="Z199" i="7"/>
  <c r="Z242" i="7"/>
  <c r="Z231" i="7"/>
  <c r="Z251" i="7"/>
  <c r="Z182" i="7"/>
  <c r="Z239" i="7"/>
  <c r="Z177" i="7"/>
  <c r="Z213" i="7"/>
  <c r="Z216" i="7"/>
  <c r="Z153" i="7"/>
  <c r="Z228" i="7"/>
  <c r="Z202" i="7"/>
  <c r="Z155" i="7"/>
  <c r="Z154" i="7"/>
  <c r="Z191" i="7"/>
  <c r="Z150" i="7"/>
  <c r="Z223" i="7"/>
  <c r="Z176" i="7"/>
  <c r="D158" i="8"/>
  <c r="P158" i="1"/>
  <c r="L158" i="1"/>
  <c r="D213" i="8"/>
  <c r="D156" i="8"/>
  <c r="F212" i="8"/>
  <c r="J212" i="8" s="1"/>
  <c r="Q212" i="8" s="1"/>
  <c r="D212" i="8"/>
  <c r="F258" i="8"/>
  <c r="J258" i="8" s="1"/>
  <c r="Q258" i="8" s="1"/>
  <c r="D258" i="8"/>
  <c r="D261" i="8"/>
  <c r="H100" i="1"/>
  <c r="D100" i="8" s="1"/>
  <c r="H56" i="1"/>
  <c r="S56" i="1" s="1"/>
  <c r="S5" i="1"/>
  <c r="S157" i="1"/>
  <c r="F157" i="8"/>
  <c r="J157" i="8" s="1"/>
  <c r="Q157" i="8" s="1"/>
  <c r="T262" i="7"/>
  <c r="H140" i="1"/>
  <c r="S140" i="1" s="1"/>
  <c r="E262" i="1"/>
  <c r="E264" i="1" s="1"/>
  <c r="AB68" i="7"/>
  <c r="AB87" i="7"/>
  <c r="AB27" i="7"/>
  <c r="AB88" i="7"/>
  <c r="Z78" i="7"/>
  <c r="AB17" i="7"/>
  <c r="AB8" i="7"/>
  <c r="Z104" i="7"/>
  <c r="AB64" i="7"/>
  <c r="AB100" i="7"/>
  <c r="Z99" i="7"/>
  <c r="AB66" i="7"/>
  <c r="Z25" i="7"/>
  <c r="Z62" i="7"/>
  <c r="Z86" i="7"/>
  <c r="AB90" i="7"/>
  <c r="AB29" i="7"/>
  <c r="AB44" i="7"/>
  <c r="AB67" i="7"/>
  <c r="Z26" i="7"/>
  <c r="AB75" i="7"/>
  <c r="Z13" i="7"/>
  <c r="AB79" i="7"/>
  <c r="AB84" i="7"/>
  <c r="AB38" i="7"/>
  <c r="AB47" i="7"/>
  <c r="Z54" i="7"/>
  <c r="AB92" i="7"/>
  <c r="AB48" i="7"/>
  <c r="AB81" i="7"/>
  <c r="AB10" i="7"/>
  <c r="AB80" i="7"/>
  <c r="AB101" i="7"/>
  <c r="Z95" i="7"/>
  <c r="AB69" i="7"/>
  <c r="AB32" i="7"/>
  <c r="Z102" i="7"/>
  <c r="AB24" i="7"/>
  <c r="AB76" i="7"/>
  <c r="AB21" i="7"/>
  <c r="AB97" i="7"/>
  <c r="AB52" i="7"/>
  <c r="Z53" i="7"/>
  <c r="AB33" i="7"/>
  <c r="AB22" i="7"/>
  <c r="AB93" i="7"/>
  <c r="Z28" i="7"/>
  <c r="AB20" i="7"/>
  <c r="Z89" i="7"/>
  <c r="Z98" i="7"/>
  <c r="AB63" i="7"/>
  <c r="AB94" i="7"/>
  <c r="Z23" i="7"/>
  <c r="Z36" i="7"/>
  <c r="AB35" i="7"/>
  <c r="AB30" i="7"/>
  <c r="AB49" i="7"/>
  <c r="AB71" i="7"/>
  <c r="AB65" i="7"/>
  <c r="AB45" i="7"/>
  <c r="Z46" i="7"/>
  <c r="AB57" i="7"/>
  <c r="AB39" i="7"/>
  <c r="AB55" i="7"/>
  <c r="AB77" i="7"/>
  <c r="AB91" i="7"/>
  <c r="AB70" i="7"/>
  <c r="AB96" i="7"/>
  <c r="AB41" i="7"/>
  <c r="AB18" i="7"/>
  <c r="Z9" i="7"/>
  <c r="AB7" i="7"/>
  <c r="AB56" i="7"/>
  <c r="AB43" i="7"/>
  <c r="AB11" i="7"/>
  <c r="AB50" i="7"/>
  <c r="Z60" i="7"/>
  <c r="Z59" i="7"/>
  <c r="AB73" i="7"/>
  <c r="AB61" i="7"/>
  <c r="AB14" i="7"/>
  <c r="AB261" i="7"/>
  <c r="Z6" i="7"/>
  <c r="AB12" i="7"/>
  <c r="AB19" i="7"/>
  <c r="AB42" i="7"/>
  <c r="AB37" i="7"/>
  <c r="Z34" i="7"/>
  <c r="AB72" i="7"/>
  <c r="AB103" i="7"/>
  <c r="AB15" i="7"/>
  <c r="AB40" i="7"/>
  <c r="Z58" i="7"/>
  <c r="AB85" i="7"/>
  <c r="AB74" i="7"/>
  <c r="AB16" i="7"/>
  <c r="AB82" i="7"/>
  <c r="AB83" i="7"/>
  <c r="AB51" i="7"/>
  <c r="T264" i="7"/>
  <c r="V264" i="7" s="1"/>
  <c r="S208" i="1"/>
  <c r="S223" i="1"/>
  <c r="S242" i="1"/>
  <c r="S222" i="1"/>
  <c r="S204" i="1"/>
  <c r="S213" i="1"/>
  <c r="S149" i="1"/>
  <c r="S218" i="1"/>
  <c r="S207" i="1"/>
  <c r="S229" i="1"/>
  <c r="S192" i="1"/>
  <c r="S150" i="1"/>
  <c r="S258" i="1"/>
  <c r="S220" i="1"/>
  <c r="S247" i="1"/>
  <c r="S234" i="1"/>
  <c r="S174" i="1"/>
  <c r="S159" i="1"/>
  <c r="S187" i="1"/>
  <c r="D143" i="8"/>
  <c r="S143" i="1"/>
  <c r="S221" i="1"/>
  <c r="S217" i="1"/>
  <c r="S236" i="1"/>
  <c r="S176" i="1"/>
  <c r="S239" i="1"/>
  <c r="S219" i="1"/>
  <c r="S168" i="1"/>
  <c r="S226" i="1"/>
  <c r="S191" i="1"/>
  <c r="S164" i="1"/>
  <c r="S255" i="1"/>
  <c r="S190" i="1"/>
  <c r="S183" i="1"/>
  <c r="S188" i="1"/>
  <c r="D138" i="8"/>
  <c r="S138" i="1"/>
  <c r="S184" i="1"/>
  <c r="S235" i="1"/>
  <c r="S175" i="1"/>
  <c r="S165" i="1"/>
  <c r="S155" i="1"/>
  <c r="S151" i="1"/>
  <c r="S197" i="1"/>
  <c r="S162" i="1"/>
  <c r="S206" i="1"/>
  <c r="S256" i="1"/>
  <c r="S251" i="1"/>
  <c r="S241" i="1"/>
  <c r="S181" i="1"/>
  <c r="S185" i="1"/>
  <c r="S243" i="1"/>
  <c r="S145" i="1"/>
  <c r="S209" i="1"/>
  <c r="S196" i="1"/>
  <c r="S201" i="1"/>
  <c r="D139" i="8"/>
  <c r="S139" i="1"/>
  <c r="S193" i="1"/>
  <c r="S173" i="1"/>
  <c r="S182" i="1"/>
  <c r="S210" i="1"/>
  <c r="S249" i="1"/>
  <c r="S195" i="1"/>
  <c r="S244" i="1"/>
  <c r="S245" i="1"/>
  <c r="S163" i="1"/>
  <c r="S166" i="1"/>
  <c r="S259" i="1"/>
  <c r="S202" i="1"/>
  <c r="S172" i="1"/>
  <c r="S171" i="1"/>
  <c r="S205" i="1"/>
  <c r="S248" i="1"/>
  <c r="S178" i="1"/>
  <c r="S240" i="1"/>
  <c r="S253" i="1"/>
  <c r="S261" i="1"/>
  <c r="S211" i="1"/>
  <c r="S189" i="1"/>
  <c r="S216" i="1"/>
  <c r="S199" i="1"/>
  <c r="S214" i="1"/>
  <c r="S170" i="1"/>
  <c r="S153" i="1"/>
  <c r="S167" i="1"/>
  <c r="S212" i="1"/>
  <c r="S158" i="1"/>
  <c r="S252" i="1"/>
  <c r="S227" i="1"/>
  <c r="S230" i="1"/>
  <c r="S231" i="1"/>
  <c r="S250" i="1"/>
  <c r="S254" i="1"/>
  <c r="D141" i="8"/>
  <c r="S141" i="1"/>
  <c r="S232" i="1"/>
  <c r="S160" i="1"/>
  <c r="J137" i="1"/>
  <c r="L137" i="1" s="1"/>
  <c r="S137" i="1"/>
  <c r="S161" i="1"/>
  <c r="S233" i="1"/>
  <c r="S246" i="1"/>
  <c r="S146" i="1"/>
  <c r="S228" i="1"/>
  <c r="S148" i="1"/>
  <c r="S194" i="1"/>
  <c r="S203" i="1"/>
  <c r="S152" i="1"/>
  <c r="S147" i="1"/>
  <c r="S179" i="1"/>
  <c r="S180" i="1"/>
  <c r="S224" i="1"/>
  <c r="S200" i="1"/>
  <c r="S154" i="1"/>
  <c r="S169" i="1"/>
  <c r="S238" i="1"/>
  <c r="S215" i="1"/>
  <c r="S257" i="1"/>
  <c r="S198" i="1"/>
  <c r="S177" i="1"/>
  <c r="S225" i="1"/>
  <c r="S156" i="1"/>
  <c r="S186" i="1"/>
  <c r="S237" i="1"/>
  <c r="D142" i="8"/>
  <c r="J139" i="1"/>
  <c r="J138" i="1"/>
  <c r="F239" i="8"/>
  <c r="J239" i="8" s="1"/>
  <c r="Q239" i="8" s="1"/>
  <c r="F214" i="8"/>
  <c r="J214" i="8" s="1"/>
  <c r="Q214" i="8" s="1"/>
  <c r="F231" i="8"/>
  <c r="J231" i="8" s="1"/>
  <c r="Q231" i="8" s="1"/>
  <c r="F252" i="8"/>
  <c r="J252" i="8" s="1"/>
  <c r="Q252" i="8" s="1"/>
  <c r="F154" i="8"/>
  <c r="J154" i="8" s="1"/>
  <c r="Q154" i="8" s="1"/>
  <c r="F248" i="8"/>
  <c r="J248" i="8" s="1"/>
  <c r="Q248" i="8" s="1"/>
  <c r="F152" i="8"/>
  <c r="J152" i="8" s="1"/>
  <c r="Q152" i="8" s="1"/>
  <c r="F186" i="8"/>
  <c r="J186" i="8" s="1"/>
  <c r="Q186" i="8" s="1"/>
  <c r="F168" i="8"/>
  <c r="J168" i="8" s="1"/>
  <c r="Q168" i="8" s="1"/>
  <c r="F173" i="8"/>
  <c r="J173" i="8" s="1"/>
  <c r="Q173" i="8" s="1"/>
  <c r="F257" i="8"/>
  <c r="J257" i="8" s="1"/>
  <c r="Q257" i="8" s="1"/>
  <c r="F211" i="8"/>
  <c r="J211" i="8" s="1"/>
  <c r="Q211" i="8" s="1"/>
  <c r="F181" i="8"/>
  <c r="J181" i="8" s="1"/>
  <c r="Q181" i="8" s="1"/>
  <c r="F160" i="8"/>
  <c r="J160" i="8" s="1"/>
  <c r="Q160" i="8" s="1"/>
  <c r="F147" i="8"/>
  <c r="J147" i="8" s="1"/>
  <c r="Q147" i="8" s="1"/>
  <c r="F188" i="8"/>
  <c r="J188" i="8" s="1"/>
  <c r="Q188" i="8" s="1"/>
  <c r="F243" i="8"/>
  <c r="J243" i="8" s="1"/>
  <c r="Q243" i="8" s="1"/>
  <c r="F256" i="8"/>
  <c r="J256" i="8" s="1"/>
  <c r="Q256" i="8" s="1"/>
  <c r="F190" i="8"/>
  <c r="J190" i="8" s="1"/>
  <c r="Q190" i="8" s="1"/>
  <c r="F155" i="8"/>
  <c r="J155" i="8" s="1"/>
  <c r="Q155" i="8" s="1"/>
  <c r="F195" i="8"/>
  <c r="J195" i="8" s="1"/>
  <c r="Q195" i="8" s="1"/>
  <c r="F184" i="8"/>
  <c r="J184" i="8" s="1"/>
  <c r="Q184" i="8" s="1"/>
  <c r="F161" i="8"/>
  <c r="J161" i="8" s="1"/>
  <c r="Q161" i="8" s="1"/>
  <c r="F182" i="8"/>
  <c r="J182" i="8" s="1"/>
  <c r="Q182" i="8" s="1"/>
  <c r="F224" i="8"/>
  <c r="J224" i="8" s="1"/>
  <c r="Q224" i="8" s="1"/>
  <c r="F223" i="8"/>
  <c r="J223" i="8" s="1"/>
  <c r="Q223" i="8" s="1"/>
  <c r="F145" i="8"/>
  <c r="J145" i="8" s="1"/>
  <c r="Q145" i="8" s="1"/>
  <c r="F174" i="8"/>
  <c r="J174" i="8" s="1"/>
  <c r="Q174" i="8" s="1"/>
  <c r="F175" i="8"/>
  <c r="J175" i="8" s="1"/>
  <c r="Q175" i="8" s="1"/>
  <c r="F194" i="8"/>
  <c r="J194" i="8" s="1"/>
  <c r="Q194" i="8" s="1"/>
  <c r="H6" i="1"/>
  <c r="J6" i="1" s="1"/>
  <c r="D5" i="8"/>
  <c r="Z127" i="7"/>
  <c r="J78" i="1"/>
  <c r="J125" i="1"/>
  <c r="P125" i="1" s="1"/>
  <c r="S125" i="1" s="1"/>
  <c r="J64" i="1"/>
  <c r="L64" i="1" s="1"/>
  <c r="J51" i="1"/>
  <c r="L51" i="1" s="1"/>
  <c r="J28" i="1"/>
  <c r="L28" i="1" s="1"/>
  <c r="J96" i="1"/>
  <c r="P96" i="1" s="1"/>
  <c r="S96" i="1" s="1"/>
  <c r="J47" i="1"/>
  <c r="L47" i="1" s="1"/>
  <c r="J86" i="1"/>
  <c r="L86" i="1" s="1"/>
  <c r="J102" i="1"/>
  <c r="L102" i="1" s="1"/>
  <c r="J8" i="1"/>
  <c r="L8" i="1" s="1"/>
  <c r="S92" i="1"/>
  <c r="J92" i="1"/>
  <c r="P92" i="1" s="1"/>
  <c r="J76" i="1"/>
  <c r="L76" i="1" s="1"/>
  <c r="S44" i="1"/>
  <c r="J44" i="1"/>
  <c r="P44" i="1" s="1"/>
  <c r="J133" i="1"/>
  <c r="P133" i="1" s="1"/>
  <c r="S133" i="1" s="1"/>
  <c r="J113" i="1"/>
  <c r="L113" i="1" s="1"/>
  <c r="J97" i="1"/>
  <c r="P97" i="1" s="1"/>
  <c r="S97" i="1" s="1"/>
  <c r="J39" i="1"/>
  <c r="L39" i="1" s="1"/>
  <c r="J136" i="1"/>
  <c r="L136" i="1" s="1"/>
  <c r="J112" i="1"/>
  <c r="L112" i="1" s="1"/>
  <c r="J43" i="1"/>
  <c r="L43" i="1" s="1"/>
  <c r="S129" i="1"/>
  <c r="J129" i="1"/>
  <c r="P129" i="1" s="1"/>
  <c r="J116" i="1"/>
  <c r="P116" i="1" s="1"/>
  <c r="S116" i="1" s="1"/>
  <c r="D127" i="8"/>
  <c r="J127" i="1"/>
  <c r="P127" i="1" s="1"/>
  <c r="S127" i="1" s="1"/>
  <c r="J84" i="1"/>
  <c r="L84" i="1" s="1"/>
  <c r="J142" i="1"/>
  <c r="L142" i="1" s="1"/>
  <c r="J65" i="1"/>
  <c r="P65" i="1" s="1"/>
  <c r="S65" i="1" s="1"/>
  <c r="J79" i="1"/>
  <c r="L79" i="1" s="1"/>
  <c r="J46" i="1"/>
  <c r="P46" i="1" s="1"/>
  <c r="S46" i="1" s="1"/>
  <c r="J89" i="1"/>
  <c r="J106" i="1"/>
  <c r="P106" i="1" s="1"/>
  <c r="S106" i="1" s="1"/>
  <c r="J57" i="1"/>
  <c r="L57" i="1" s="1"/>
  <c r="J13" i="1"/>
  <c r="P13" i="1" s="1"/>
  <c r="S13" i="1" s="1"/>
  <c r="J109" i="1"/>
  <c r="P109" i="1" s="1"/>
  <c r="S109" i="1" s="1"/>
  <c r="J118" i="1"/>
  <c r="L118" i="1" s="1"/>
  <c r="J70" i="1"/>
  <c r="P70" i="1" s="1"/>
  <c r="S70" i="1" s="1"/>
  <c r="J103" i="1"/>
  <c r="L103" i="1" s="1"/>
  <c r="S73" i="1"/>
  <c r="J73" i="1"/>
  <c r="P73" i="1" s="1"/>
  <c r="J26" i="1"/>
  <c r="L26" i="1" s="1"/>
  <c r="S15" i="1"/>
  <c r="J15" i="1"/>
  <c r="P15" i="1" s="1"/>
  <c r="J143" i="1"/>
  <c r="L143" i="1" s="1"/>
  <c r="S83" i="1"/>
  <c r="J83" i="1"/>
  <c r="P83" i="1" s="1"/>
  <c r="J66" i="1"/>
  <c r="P66" i="1" s="1"/>
  <c r="S66" i="1" s="1"/>
  <c r="J77" i="1"/>
  <c r="L77" i="1" s="1"/>
  <c r="J10" i="1"/>
  <c r="L10" i="1" s="1"/>
  <c r="S135" i="1"/>
  <c r="J135" i="1"/>
  <c r="P135" i="1" s="1"/>
  <c r="J104" i="1"/>
  <c r="L104" i="1" s="1"/>
  <c r="J35" i="1"/>
  <c r="P35" i="1" s="1"/>
  <c r="S35" i="1" s="1"/>
  <c r="J115" i="1"/>
  <c r="L115" i="1" s="1"/>
  <c r="J130" i="1"/>
  <c r="L130" i="1" s="1"/>
  <c r="J53" i="1"/>
  <c r="L53" i="1" s="1"/>
  <c r="J141" i="1"/>
  <c r="L141" i="1" s="1"/>
  <c r="J25" i="1"/>
  <c r="L25" i="1" s="1"/>
  <c r="J107" i="1"/>
  <c r="L107" i="1" s="1"/>
  <c r="J50" i="1"/>
  <c r="L50" i="1" s="1"/>
  <c r="J27" i="1"/>
  <c r="P27" i="1" s="1"/>
  <c r="S27" i="1" s="1"/>
  <c r="J75" i="1"/>
  <c r="P75" i="1" s="1"/>
  <c r="S75" i="1" s="1"/>
  <c r="J29" i="1"/>
  <c r="P29" i="1" s="1"/>
  <c r="S29" i="1" s="1"/>
  <c r="J63" i="1"/>
  <c r="L63" i="1" s="1"/>
  <c r="D131" i="8"/>
  <c r="J131" i="1"/>
  <c r="P131" i="1" s="1"/>
  <c r="J16" i="1"/>
  <c r="P16" i="1" s="1"/>
  <c r="S16" i="1" s="1"/>
  <c r="S120" i="1"/>
  <c r="J120" i="1"/>
  <c r="P120" i="1" s="1"/>
  <c r="J20" i="1"/>
  <c r="P20" i="1" s="1"/>
  <c r="S20" i="1" s="1"/>
  <c r="J7" i="1"/>
  <c r="J23" i="1"/>
  <c r="L23" i="1" s="1"/>
  <c r="J41" i="1"/>
  <c r="L41" i="1" s="1"/>
  <c r="D126" i="8"/>
  <c r="J126" i="1"/>
  <c r="L126" i="1" s="1"/>
  <c r="J128" i="1"/>
  <c r="P128" i="1" s="1"/>
  <c r="S128" i="1" s="1"/>
  <c r="J48" i="1"/>
  <c r="L48" i="1" s="1"/>
  <c r="J80" i="1"/>
  <c r="P80" i="1" s="1"/>
  <c r="S80" i="1" s="1"/>
  <c r="S72" i="1"/>
  <c r="S12" i="1"/>
  <c r="D128" i="8"/>
  <c r="S19" i="1"/>
  <c r="S98" i="1"/>
  <c r="D136" i="8"/>
  <c r="S40" i="1"/>
  <c r="D129" i="8"/>
  <c r="D137" i="8"/>
  <c r="D132" i="8"/>
  <c r="D134" i="8"/>
  <c r="S132" i="1"/>
  <c r="D130" i="8"/>
  <c r="S34" i="1"/>
  <c r="S42" i="1"/>
  <c r="D135" i="8"/>
  <c r="S45" i="1"/>
  <c r="S81" i="1"/>
  <c r="S82" i="1"/>
  <c r="S131" i="1"/>
  <c r="D133" i="8"/>
  <c r="L42" i="1"/>
  <c r="P42" i="1"/>
  <c r="L81" i="1"/>
  <c r="P81" i="1"/>
  <c r="L90" i="1"/>
  <c r="P90" i="1"/>
  <c r="S90" i="1" s="1"/>
  <c r="L60" i="1"/>
  <c r="P60" i="1"/>
  <c r="S60" i="1" s="1"/>
  <c r="L82" i="1"/>
  <c r="P82" i="1"/>
  <c r="L98" i="1"/>
  <c r="P98" i="1"/>
  <c r="L49" i="1"/>
  <c r="P49" i="1"/>
  <c r="S49" i="1" s="1"/>
  <c r="L101" i="1"/>
  <c r="P101" i="1"/>
  <c r="S101" i="1" s="1"/>
  <c r="L21" i="1"/>
  <c r="P21" i="1"/>
  <c r="S21" i="1" s="1"/>
  <c r="P58" i="1"/>
  <c r="S58" i="1" s="1"/>
  <c r="L93" i="1"/>
  <c r="P93" i="1"/>
  <c r="S93" i="1" s="1"/>
  <c r="L88" i="1"/>
  <c r="P88" i="1"/>
  <c r="S88" i="1" s="1"/>
  <c r="L134" i="1"/>
  <c r="P134" i="1"/>
  <c r="S134" i="1" s="1"/>
  <c r="L95" i="1"/>
  <c r="P95" i="1"/>
  <c r="S95" i="1" s="1"/>
  <c r="L12" i="1"/>
  <c r="P12" i="1"/>
  <c r="L74" i="1"/>
  <c r="P74" i="1"/>
  <c r="S74" i="1" s="1"/>
  <c r="L85" i="1"/>
  <c r="P85" i="1"/>
  <c r="S85" i="1" s="1"/>
  <c r="L19" i="1"/>
  <c r="P19" i="1"/>
  <c r="L111" i="1"/>
  <c r="P111" i="1"/>
  <c r="S111" i="1" s="1"/>
  <c r="L40" i="1"/>
  <c r="P40" i="1"/>
  <c r="L99" i="1"/>
  <c r="P99" i="1"/>
  <c r="S99" i="1" s="1"/>
  <c r="L54" i="1"/>
  <c r="P54" i="1"/>
  <c r="S54" i="1" s="1"/>
  <c r="L9" i="1"/>
  <c r="P9" i="1"/>
  <c r="S9" i="1" s="1"/>
  <c r="L14" i="1"/>
  <c r="P14" i="1"/>
  <c r="S14" i="1" s="1"/>
  <c r="L30" i="1"/>
  <c r="P30" i="1"/>
  <c r="S30" i="1" s="1"/>
  <c r="L132" i="1"/>
  <c r="P132" i="1"/>
  <c r="L36" i="1"/>
  <c r="P36" i="1"/>
  <c r="S36" i="1" s="1"/>
  <c r="L52" i="1"/>
  <c r="P52" i="1"/>
  <c r="S52" i="1" s="1"/>
  <c r="L121" i="1"/>
  <c r="P121" i="1"/>
  <c r="S121" i="1" s="1"/>
  <c r="L32" i="1"/>
  <c r="P32" i="1"/>
  <c r="S32" i="1" s="1"/>
  <c r="L11" i="1"/>
  <c r="P11" i="1"/>
  <c r="S11" i="1" s="1"/>
  <c r="L67" i="1"/>
  <c r="P67" i="1"/>
  <c r="S67" i="1" s="1"/>
  <c r="L91" i="1"/>
  <c r="P91" i="1"/>
  <c r="S91" i="1" s="1"/>
  <c r="L55" i="1"/>
  <c r="P55" i="1"/>
  <c r="S55" i="1" s="1"/>
  <c r="L69" i="1"/>
  <c r="P69" i="1"/>
  <c r="S69" i="1" s="1"/>
  <c r="L62" i="1"/>
  <c r="P62" i="1"/>
  <c r="S62" i="1" s="1"/>
  <c r="L68" i="1"/>
  <c r="P68" i="1"/>
  <c r="S68" i="1" s="1"/>
  <c r="L72" i="1"/>
  <c r="P72" i="1"/>
  <c r="L124" i="1"/>
  <c r="P124" i="1"/>
  <c r="S124" i="1" s="1"/>
  <c r="L22" i="1"/>
  <c r="P22" i="1"/>
  <c r="S22" i="1" s="1"/>
  <c r="L33" i="1"/>
  <c r="P33" i="1"/>
  <c r="S33" i="1" s="1"/>
  <c r="L37" i="1"/>
  <c r="P37" i="1"/>
  <c r="S37" i="1" s="1"/>
  <c r="L94" i="1"/>
  <c r="P94" i="1"/>
  <c r="S94" i="1" s="1"/>
  <c r="L117" i="1"/>
  <c r="P117" i="1"/>
  <c r="S117" i="1" s="1"/>
  <c r="L87" i="1"/>
  <c r="P87" i="1"/>
  <c r="S87" i="1" s="1"/>
  <c r="L61" i="1"/>
  <c r="P61" i="1"/>
  <c r="S61" i="1" s="1"/>
  <c r="L18" i="1"/>
  <c r="P18" i="1"/>
  <c r="S18" i="1" s="1"/>
  <c r="L123" i="1"/>
  <c r="P123" i="1"/>
  <c r="S123" i="1" s="1"/>
  <c r="L45" i="1"/>
  <c r="P45" i="1"/>
  <c r="L24" i="1"/>
  <c r="P24" i="1"/>
  <c r="S24" i="1" s="1"/>
  <c r="L71" i="1"/>
  <c r="P71" i="1"/>
  <c r="S71" i="1" s="1"/>
  <c r="L110" i="1"/>
  <c r="P110" i="1"/>
  <c r="S110" i="1" s="1"/>
  <c r="L34" i="1"/>
  <c r="P34" i="1"/>
  <c r="L122" i="1"/>
  <c r="P122" i="1"/>
  <c r="S122" i="1" s="1"/>
  <c r="L59" i="1"/>
  <c r="P59" i="1"/>
  <c r="S59" i="1" s="1"/>
  <c r="L119" i="1"/>
  <c r="P119" i="1"/>
  <c r="S119" i="1" s="1"/>
  <c r="L38" i="1"/>
  <c r="P38" i="1"/>
  <c r="S38" i="1" s="1"/>
  <c r="L17" i="1"/>
  <c r="P17" i="1"/>
  <c r="S17" i="1" s="1"/>
  <c r="L108" i="1"/>
  <c r="P108" i="1"/>
  <c r="S108" i="1" s="1"/>
  <c r="L114" i="1"/>
  <c r="P114" i="1"/>
  <c r="S114" i="1" s="1"/>
  <c r="D93" i="8"/>
  <c r="D74" i="8"/>
  <c r="D33" i="8"/>
  <c r="D106" i="8"/>
  <c r="D115" i="8"/>
  <c r="D35" i="8"/>
  <c r="D60" i="8"/>
  <c r="D64" i="8"/>
  <c r="D22" i="8"/>
  <c r="D46" i="8"/>
  <c r="D18" i="8"/>
  <c r="D70" i="8"/>
  <c r="D116" i="8"/>
  <c r="D53" i="8"/>
  <c r="D68" i="8"/>
  <c r="D81" i="8"/>
  <c r="D29" i="8"/>
  <c r="D83" i="8"/>
  <c r="D11" i="8"/>
  <c r="D37" i="8"/>
  <c r="D92" i="8"/>
  <c r="D104" i="8"/>
  <c r="D97" i="8"/>
  <c r="D95" i="8"/>
  <c r="D47" i="8"/>
  <c r="D90" i="8"/>
  <c r="D65" i="8"/>
  <c r="D48" i="8"/>
  <c r="D66" i="8"/>
  <c r="D17" i="8"/>
  <c r="D85" i="8"/>
  <c r="D15" i="8"/>
  <c r="D40" i="8"/>
  <c r="D98" i="8"/>
  <c r="D59" i="8"/>
  <c r="D12" i="8"/>
  <c r="D101" i="8"/>
  <c r="D13" i="8"/>
  <c r="D78" i="8"/>
  <c r="D39" i="8"/>
  <c r="D76" i="8"/>
  <c r="D52" i="8"/>
  <c r="D73" i="8"/>
  <c r="D50" i="8"/>
  <c r="D63" i="8"/>
  <c r="D110" i="8"/>
  <c r="D94" i="8"/>
  <c r="D58" i="8"/>
  <c r="D111" i="8"/>
  <c r="D45" i="8"/>
  <c r="D28" i="8"/>
  <c r="D103" i="8"/>
  <c r="D88" i="8"/>
  <c r="D109" i="8"/>
  <c r="D99" i="8"/>
  <c r="D51" i="8"/>
  <c r="D9" i="8"/>
  <c r="D80" i="8"/>
  <c r="D123" i="8"/>
  <c r="D16" i="8"/>
  <c r="D10" i="8"/>
  <c r="D91" i="8"/>
  <c r="D122" i="8"/>
  <c r="D23" i="8"/>
  <c r="D27" i="8"/>
  <c r="D67" i="8"/>
  <c r="D124" i="8"/>
  <c r="D8" i="8"/>
  <c r="D125" i="8"/>
  <c r="D108" i="8"/>
  <c r="D113" i="8"/>
  <c r="D62" i="8"/>
  <c r="D82" i="8"/>
  <c r="D112" i="8"/>
  <c r="D54" i="8"/>
  <c r="D107" i="8"/>
  <c r="D38" i="8"/>
  <c r="D24" i="8"/>
  <c r="D84" i="8"/>
  <c r="D25" i="8"/>
  <c r="D41" i="8"/>
  <c r="D120" i="8"/>
  <c r="D117" i="8"/>
  <c r="D26" i="8"/>
  <c r="D114" i="8"/>
  <c r="D49" i="8"/>
  <c r="D42" i="8"/>
  <c r="D102" i="8"/>
  <c r="D69" i="8"/>
  <c r="D77" i="8"/>
  <c r="D21" i="8"/>
  <c r="D44" i="8"/>
  <c r="D19" i="8"/>
  <c r="D71" i="8"/>
  <c r="D55" i="8"/>
  <c r="D121" i="8"/>
  <c r="D30" i="8"/>
  <c r="D75" i="8"/>
  <c r="D118" i="8"/>
  <c r="D89" i="8"/>
  <c r="D7" i="8"/>
  <c r="D96" i="8"/>
  <c r="D36" i="8"/>
  <c r="D72" i="8"/>
  <c r="D87" i="8"/>
  <c r="D43" i="8"/>
  <c r="D34" i="8"/>
  <c r="D20" i="8"/>
  <c r="D119" i="8"/>
  <c r="D57" i="8"/>
  <c r="D86" i="8"/>
  <c r="D14" i="8"/>
  <c r="D61" i="8"/>
  <c r="D32" i="8"/>
  <c r="D79" i="8"/>
  <c r="X141" i="7" l="1"/>
  <c r="AB141" i="7" s="1"/>
  <c r="V262" i="7"/>
  <c r="Z108" i="7"/>
  <c r="Z132" i="7"/>
  <c r="Z126" i="7"/>
  <c r="Z109" i="7"/>
  <c r="Z135" i="7"/>
  <c r="Z111" i="7"/>
  <c r="Z136" i="7"/>
  <c r="Z114" i="7"/>
  <c r="Z123" i="7"/>
  <c r="Z125" i="7"/>
  <c r="Z131" i="7"/>
  <c r="Z121" i="7"/>
  <c r="Z130" i="7"/>
  <c r="Z141" i="7"/>
  <c r="Z106" i="7"/>
  <c r="Z142" i="7"/>
  <c r="Z112" i="7"/>
  <c r="AB124" i="7"/>
  <c r="AB122" i="7"/>
  <c r="AB113" i="7"/>
  <c r="AB128" i="7"/>
  <c r="AB137" i="7"/>
  <c r="Z115" i="7"/>
  <c r="Z133" i="7"/>
  <c r="AB119" i="7"/>
  <c r="AB129" i="7"/>
  <c r="AB107" i="7"/>
  <c r="AB120" i="7"/>
  <c r="AB110" i="7"/>
  <c r="AB116" i="7"/>
  <c r="Z117" i="7"/>
  <c r="Z118" i="7"/>
  <c r="Z134" i="7"/>
  <c r="AB143" i="7"/>
  <c r="AB182" i="7"/>
  <c r="AB218" i="7"/>
  <c r="AB158" i="7"/>
  <c r="AB205" i="7"/>
  <c r="AB255" i="7"/>
  <c r="AB231" i="7"/>
  <c r="AB241" i="7"/>
  <c r="AB235" i="7"/>
  <c r="AB176" i="7"/>
  <c r="AB242" i="7"/>
  <c r="AB189" i="7"/>
  <c r="AB247" i="7"/>
  <c r="AB185" i="7"/>
  <c r="AB181" i="7"/>
  <c r="AB216" i="7"/>
  <c r="AB199" i="7"/>
  <c r="AB184" i="7"/>
  <c r="AB183" i="7"/>
  <c r="AB253" i="7"/>
  <c r="AB248" i="7"/>
  <c r="AB147" i="7"/>
  <c r="AB245" i="7"/>
  <c r="AB204" i="7"/>
  <c r="AB227" i="7"/>
  <c r="AB145" i="7"/>
  <c r="AB258" i="7"/>
  <c r="AB230" i="7"/>
  <c r="AB155" i="7"/>
  <c r="AB254" i="7"/>
  <c r="AB161" i="7"/>
  <c r="AB146" i="7"/>
  <c r="AB232" i="7"/>
  <c r="AB202" i="7"/>
  <c r="AB251" i="7"/>
  <c r="AB249" i="7"/>
  <c r="AB195" i="7"/>
  <c r="AB168" i="7"/>
  <c r="AB233" i="7"/>
  <c r="AB208" i="7"/>
  <c r="AB188" i="7"/>
  <c r="AB246" i="7"/>
  <c r="AB229" i="7"/>
  <c r="AB190" i="7"/>
  <c r="AB152" i="7"/>
  <c r="AB197" i="7"/>
  <c r="AB169" i="7"/>
  <c r="AB240" i="7"/>
  <c r="AB223" i="7"/>
  <c r="AB162" i="7"/>
  <c r="AB150" i="7"/>
  <c r="AB213" i="7"/>
  <c r="AB160" i="7"/>
  <c r="AB179" i="7"/>
  <c r="AB187" i="7"/>
  <c r="AB209" i="7"/>
  <c r="AB171" i="7"/>
  <c r="AB178" i="7"/>
  <c r="AB175" i="7"/>
  <c r="AB234" i="7"/>
  <c r="AB236" i="7"/>
  <c r="AB214" i="7"/>
  <c r="AB165" i="7"/>
  <c r="AB186" i="7"/>
  <c r="AB206" i="7"/>
  <c r="AB211" i="7"/>
  <c r="AB221" i="7"/>
  <c r="AB259" i="7"/>
  <c r="AB222" i="7"/>
  <c r="AB225" i="7"/>
  <c r="AB203" i="7"/>
  <c r="AB252" i="7"/>
  <c r="AB163" i="7"/>
  <c r="AB191" i="7"/>
  <c r="AB177" i="7"/>
  <c r="AB237" i="7"/>
  <c r="AB256" i="7"/>
  <c r="AB220" i="7"/>
  <c r="AB257" i="7"/>
  <c r="AB196" i="7"/>
  <c r="AB149" i="7"/>
  <c r="AB164" i="7"/>
  <c r="AB226" i="7"/>
  <c r="AB215" i="7"/>
  <c r="AB148" i="7"/>
  <c r="AB156" i="7"/>
  <c r="AB243" i="7"/>
  <c r="AB217" i="7"/>
  <c r="AB212" i="7"/>
  <c r="AB198" i="7"/>
  <c r="AB173" i="7"/>
  <c r="AB153" i="7"/>
  <c r="AB194" i="7"/>
  <c r="AB167" i="7"/>
  <c r="AB228" i="7"/>
  <c r="AB224" i="7"/>
  <c r="AB200" i="7"/>
  <c r="AB207" i="7"/>
  <c r="AB159" i="7"/>
  <c r="AB180" i="7"/>
  <c r="AB172" i="7"/>
  <c r="AB154" i="7"/>
  <c r="AB239" i="7"/>
  <c r="AB238" i="7"/>
  <c r="AB250" i="7"/>
  <c r="AB260" i="7"/>
  <c r="AB192" i="7"/>
  <c r="AB210" i="7"/>
  <c r="AB151" i="7"/>
  <c r="AB193" i="7"/>
  <c r="AB170" i="7"/>
  <c r="AB219" i="7"/>
  <c r="AB201" i="7"/>
  <c r="AB244" i="7"/>
  <c r="AB174" i="7"/>
  <c r="AB166" i="7"/>
  <c r="J56" i="1"/>
  <c r="F56" i="8" s="1"/>
  <c r="J56" i="8" s="1"/>
  <c r="Q56" i="8" s="1"/>
  <c r="S100" i="1"/>
  <c r="D56" i="8"/>
  <c r="F230" i="8"/>
  <c r="J230" i="8" s="1"/>
  <c r="Q230" i="8" s="1"/>
  <c r="F197" i="8"/>
  <c r="J197" i="8" s="1"/>
  <c r="Q197" i="8" s="1"/>
  <c r="F165" i="8"/>
  <c r="J165" i="8" s="1"/>
  <c r="Q165" i="8" s="1"/>
  <c r="F193" i="8"/>
  <c r="J193" i="8" s="1"/>
  <c r="Q193" i="8" s="1"/>
  <c r="F233" i="8"/>
  <c r="J233" i="8" s="1"/>
  <c r="Q233" i="8" s="1"/>
  <c r="F225" i="8"/>
  <c r="J225" i="8" s="1"/>
  <c r="Q225" i="8" s="1"/>
  <c r="F187" i="8"/>
  <c r="J187" i="8" s="1"/>
  <c r="Q187" i="8" s="1"/>
  <c r="F171" i="8"/>
  <c r="J171" i="8" s="1"/>
  <c r="Q171" i="8" s="1"/>
  <c r="F227" i="8"/>
  <c r="J227" i="8" s="1"/>
  <c r="Q227" i="8" s="1"/>
  <c r="F217" i="8"/>
  <c r="J217" i="8" s="1"/>
  <c r="Q217" i="8" s="1"/>
  <c r="F169" i="8"/>
  <c r="J169" i="8" s="1"/>
  <c r="Q169" i="8" s="1"/>
  <c r="F176" i="8"/>
  <c r="J176" i="8" s="1"/>
  <c r="Q176" i="8" s="1"/>
  <c r="F150" i="8"/>
  <c r="J150" i="8" s="1"/>
  <c r="Q150" i="8" s="1"/>
  <c r="F153" i="8"/>
  <c r="J153" i="8" s="1"/>
  <c r="Q153" i="8" s="1"/>
  <c r="F206" i="8"/>
  <c r="J206" i="8" s="1"/>
  <c r="Q206" i="8" s="1"/>
  <c r="F191" i="8"/>
  <c r="J191" i="8" s="1"/>
  <c r="Q191" i="8" s="1"/>
  <c r="F253" i="8"/>
  <c r="J253" i="8" s="1"/>
  <c r="Q253" i="8" s="1"/>
  <c r="F254" i="8"/>
  <c r="J254" i="8" s="1"/>
  <c r="Q254" i="8" s="1"/>
  <c r="F216" i="8"/>
  <c r="J216" i="8" s="1"/>
  <c r="Q216" i="8" s="1"/>
  <c r="F200" i="8"/>
  <c r="J200" i="8" s="1"/>
  <c r="Q200" i="8" s="1"/>
  <c r="F198" i="8"/>
  <c r="J198" i="8" s="1"/>
  <c r="Q198" i="8" s="1"/>
  <c r="F261" i="8"/>
  <c r="J261" i="8" s="1"/>
  <c r="Q261" i="8" s="1"/>
  <c r="F210" i="8"/>
  <c r="J210" i="8" s="1"/>
  <c r="Q210" i="8" s="1"/>
  <c r="F241" i="8"/>
  <c r="J241" i="8" s="1"/>
  <c r="Q241" i="8" s="1"/>
  <c r="F183" i="8"/>
  <c r="J183" i="8" s="1"/>
  <c r="Q183" i="8" s="1"/>
  <c r="F226" i="8"/>
  <c r="J226" i="8" s="1"/>
  <c r="Q226" i="8" s="1"/>
  <c r="F260" i="8"/>
  <c r="J260" i="8" s="1"/>
  <c r="Q260" i="8" s="1"/>
  <c r="D260" i="8"/>
  <c r="F192" i="8"/>
  <c r="J192" i="8" s="1"/>
  <c r="Q192" i="8" s="1"/>
  <c r="F255" i="8"/>
  <c r="J255" i="8" s="1"/>
  <c r="Q255" i="8" s="1"/>
  <c r="F229" i="8"/>
  <c r="J229" i="8" s="1"/>
  <c r="Q229" i="8" s="1"/>
  <c r="F179" i="8"/>
  <c r="J179" i="8" s="1"/>
  <c r="Q179" i="8" s="1"/>
  <c r="F232" i="8"/>
  <c r="J232" i="8" s="1"/>
  <c r="Q232" i="8" s="1"/>
  <c r="F180" i="8"/>
  <c r="J180" i="8" s="1"/>
  <c r="Q180" i="8" s="1"/>
  <c r="F164" i="8"/>
  <c r="J164" i="8" s="1"/>
  <c r="Q164" i="8" s="1"/>
  <c r="F148" i="8"/>
  <c r="J148" i="8" s="1"/>
  <c r="Q148" i="8" s="1"/>
  <c r="F228" i="8"/>
  <c r="J228" i="8" s="1"/>
  <c r="Q228" i="8" s="1"/>
  <c r="F166" i="8"/>
  <c r="J166" i="8" s="1"/>
  <c r="Q166" i="8" s="1"/>
  <c r="F249" i="8"/>
  <c r="J249" i="8" s="1"/>
  <c r="Q249" i="8" s="1"/>
  <c r="F167" i="8"/>
  <c r="J167" i="8" s="1"/>
  <c r="Q167" i="8" s="1"/>
  <c r="F189" i="8"/>
  <c r="J189" i="8" s="1"/>
  <c r="Q189" i="8" s="1"/>
  <c r="F163" i="8"/>
  <c r="J163" i="8" s="1"/>
  <c r="Q163" i="8" s="1"/>
  <c r="F202" i="8"/>
  <c r="J202" i="8" s="1"/>
  <c r="Q202" i="8" s="1"/>
  <c r="F245" i="8"/>
  <c r="J245" i="8" s="1"/>
  <c r="Q245" i="8" s="1"/>
  <c r="F259" i="8"/>
  <c r="J259" i="8" s="1"/>
  <c r="Q259" i="8" s="1"/>
  <c r="F156" i="8"/>
  <c r="J156" i="8" s="1"/>
  <c r="Q156" i="8" s="1"/>
  <c r="F250" i="8"/>
  <c r="J250" i="8" s="1"/>
  <c r="Q250" i="8" s="1"/>
  <c r="F246" i="8"/>
  <c r="J246" i="8" s="1"/>
  <c r="Q246" i="8" s="1"/>
  <c r="F251" i="8"/>
  <c r="J251" i="8" s="1"/>
  <c r="Q251" i="8" s="1"/>
  <c r="F207" i="8"/>
  <c r="J207" i="8" s="1"/>
  <c r="Q207" i="8" s="1"/>
  <c r="F219" i="8"/>
  <c r="J219" i="8" s="1"/>
  <c r="Q219" i="8" s="1"/>
  <c r="F162" i="8"/>
  <c r="J162" i="8" s="1"/>
  <c r="Q162" i="8" s="1"/>
  <c r="F238" i="8"/>
  <c r="J238" i="8" s="1"/>
  <c r="Q238" i="8" s="1"/>
  <c r="F158" i="8"/>
  <c r="J158" i="8" s="1"/>
  <c r="Q158" i="8" s="1"/>
  <c r="F149" i="8"/>
  <c r="J149" i="8" s="1"/>
  <c r="Q149" i="8" s="1"/>
  <c r="F209" i="8"/>
  <c r="J209" i="8" s="1"/>
  <c r="Q209" i="8" s="1"/>
  <c r="F204" i="8"/>
  <c r="J204" i="8" s="1"/>
  <c r="Q204" i="8" s="1"/>
  <c r="F222" i="8"/>
  <c r="J222" i="8" s="1"/>
  <c r="Q222" i="8" s="1"/>
  <c r="F159" i="8"/>
  <c r="J159" i="8" s="1"/>
  <c r="Q159" i="8" s="1"/>
  <c r="F172" i="8"/>
  <c r="J172" i="8" s="1"/>
  <c r="Q172" i="8" s="1"/>
  <c r="F221" i="8"/>
  <c r="J221" i="8" s="1"/>
  <c r="Q221" i="8" s="1"/>
  <c r="F199" i="8"/>
  <c r="J199" i="8" s="1"/>
  <c r="Q199" i="8" s="1"/>
  <c r="F236" i="8"/>
  <c r="J236" i="8" s="1"/>
  <c r="Q236" i="8" s="1"/>
  <c r="F185" i="8"/>
  <c r="J185" i="8" s="1"/>
  <c r="Q185" i="8" s="1"/>
  <c r="F178" i="8"/>
  <c r="J178" i="8" s="1"/>
  <c r="Q178" i="8" s="1"/>
  <c r="F235" i="8"/>
  <c r="J235" i="8" s="1"/>
  <c r="Q235" i="8" s="1"/>
  <c r="F234" i="8"/>
  <c r="J234" i="8" s="1"/>
  <c r="Q234" i="8" s="1"/>
  <c r="F218" i="8"/>
  <c r="J218" i="8" s="1"/>
  <c r="Q218" i="8" s="1"/>
  <c r="F177" i="8"/>
  <c r="J177" i="8" s="1"/>
  <c r="Q177" i="8" s="1"/>
  <c r="F247" i="8"/>
  <c r="J247" i="8" s="1"/>
  <c r="Q247" i="8" s="1"/>
  <c r="F203" i="8"/>
  <c r="J203" i="8" s="1"/>
  <c r="Q203" i="8" s="1"/>
  <c r="F201" i="8"/>
  <c r="J201" i="8" s="1"/>
  <c r="Q201" i="8" s="1"/>
  <c r="F240" i="8"/>
  <c r="J240" i="8" s="1"/>
  <c r="Q240" i="8" s="1"/>
  <c r="F208" i="8"/>
  <c r="J208" i="8" s="1"/>
  <c r="Q208" i="8" s="1"/>
  <c r="F151" i="8"/>
  <c r="J151" i="8" s="1"/>
  <c r="Q151" i="8" s="1"/>
  <c r="F244" i="8"/>
  <c r="J244" i="8" s="1"/>
  <c r="Q244" i="8" s="1"/>
  <c r="F215" i="8"/>
  <c r="J215" i="8" s="1"/>
  <c r="Q215" i="8" s="1"/>
  <c r="F170" i="8"/>
  <c r="J170" i="8" s="1"/>
  <c r="Q170" i="8" s="1"/>
  <c r="F196" i="8"/>
  <c r="J196" i="8" s="1"/>
  <c r="Q196" i="8" s="1"/>
  <c r="F242" i="8"/>
  <c r="J242" i="8" s="1"/>
  <c r="Q242" i="8" s="1"/>
  <c r="F220" i="8"/>
  <c r="J220" i="8" s="1"/>
  <c r="Q220" i="8" s="1"/>
  <c r="F237" i="8"/>
  <c r="J237" i="8" s="1"/>
  <c r="Q237" i="8" s="1"/>
  <c r="F205" i="8"/>
  <c r="J205" i="8" s="1"/>
  <c r="Q205" i="8" s="1"/>
  <c r="F213" i="8"/>
  <c r="J213" i="8" s="1"/>
  <c r="Q213" i="8" s="1"/>
  <c r="F146" i="8"/>
  <c r="J146" i="8" s="1"/>
  <c r="Q146" i="8" s="1"/>
  <c r="J100" i="1"/>
  <c r="F100" i="8" s="1"/>
  <c r="J100" i="8" s="1"/>
  <c r="Q100" i="8" s="1"/>
  <c r="L89" i="1"/>
  <c r="P89" i="1"/>
  <c r="D140" i="8"/>
  <c r="J140" i="1"/>
  <c r="P140" i="1" s="1"/>
  <c r="F138" i="8"/>
  <c r="J138" i="8" s="1"/>
  <c r="Q138" i="8" s="1"/>
  <c r="L138" i="1"/>
  <c r="F139" i="8"/>
  <c r="J139" i="8" s="1"/>
  <c r="Q139" i="8" s="1"/>
  <c r="L139" i="1"/>
  <c r="H262" i="1"/>
  <c r="J262" i="1" s="1"/>
  <c r="L262" i="1" s="1"/>
  <c r="S260" i="1"/>
  <c r="Z29" i="7"/>
  <c r="Z55" i="7"/>
  <c r="Z61" i="7"/>
  <c r="Z27" i="7"/>
  <c r="Z74" i="7"/>
  <c r="Z68" i="7"/>
  <c r="Z16" i="7"/>
  <c r="Z73" i="7"/>
  <c r="Z91" i="7"/>
  <c r="Z90" i="7"/>
  <c r="Z75" i="7"/>
  <c r="Z40" i="7"/>
  <c r="Z88" i="7"/>
  <c r="Z49" i="7"/>
  <c r="Z10" i="7"/>
  <c r="Z100" i="7"/>
  <c r="Z82" i="7"/>
  <c r="Z32" i="7"/>
  <c r="Z71" i="7"/>
  <c r="Z67" i="7"/>
  <c r="Z57" i="7"/>
  <c r="Z72" i="7"/>
  <c r="Z15" i="7"/>
  <c r="Z38" i="7"/>
  <c r="Z37" i="7"/>
  <c r="Z56" i="7"/>
  <c r="Z103" i="7"/>
  <c r="Z66" i="7"/>
  <c r="P137" i="1"/>
  <c r="Z12" i="7"/>
  <c r="Z97" i="7"/>
  <c r="Z50" i="7"/>
  <c r="Z44" i="7"/>
  <c r="AB78" i="7"/>
  <c r="Z21" i="7"/>
  <c r="Z92" i="7"/>
  <c r="Z84" i="7"/>
  <c r="Z83" i="7"/>
  <c r="Z30" i="7"/>
  <c r="Z101" i="7"/>
  <c r="Z22" i="7"/>
  <c r="Z52" i="7"/>
  <c r="Z11" i="7"/>
  <c r="Z24" i="7"/>
  <c r="Z7" i="7"/>
  <c r="Z43" i="7"/>
  <c r="Z47" i="7"/>
  <c r="Z64" i="7"/>
  <c r="Z81" i="7"/>
  <c r="Z20" i="7"/>
  <c r="Z77" i="7"/>
  <c r="Z80" i="7"/>
  <c r="AB104" i="7"/>
  <c r="Z35" i="7"/>
  <c r="Z19" i="7"/>
  <c r="X262" i="7"/>
  <c r="X264" i="7" s="1"/>
  <c r="AB86" i="7"/>
  <c r="Z76" i="7"/>
  <c r="Z17" i="7"/>
  <c r="Z8" i="7"/>
  <c r="AB60" i="7"/>
  <c r="AB46" i="7"/>
  <c r="AB13" i="7"/>
  <c r="Z85" i="7"/>
  <c r="Z63" i="7"/>
  <c r="Z41" i="7"/>
  <c r="Z93" i="7"/>
  <c r="Z33" i="7"/>
  <c r="Z94" i="7"/>
  <c r="AB98" i="7"/>
  <c r="Z39" i="7"/>
  <c r="Z45" i="7"/>
  <c r="Z51" i="7"/>
  <c r="Z65" i="7"/>
  <c r="Z96" i="7"/>
  <c r="Z87" i="7"/>
  <c r="AB34" i="7"/>
  <c r="AB89" i="7"/>
  <c r="AB95" i="7"/>
  <c r="Z42" i="7"/>
  <c r="Z79" i="7"/>
  <c r="Z48" i="7"/>
  <c r="Z18" i="7"/>
  <c r="Z69" i="7"/>
  <c r="AB54" i="7"/>
  <c r="AB99" i="7"/>
  <c r="Z70" i="7"/>
  <c r="AB59" i="7"/>
  <c r="AB9" i="7"/>
  <c r="AB28" i="7"/>
  <c r="AB58" i="7"/>
  <c r="AB36" i="7"/>
  <c r="AB23" i="7"/>
  <c r="AB102" i="7"/>
  <c r="AB62" i="7"/>
  <c r="AB6" i="7"/>
  <c r="AB25" i="7"/>
  <c r="AB53" i="7"/>
  <c r="AB26" i="7"/>
  <c r="Z14" i="7"/>
  <c r="F141" i="8"/>
  <c r="J141" i="8" s="1"/>
  <c r="Q141" i="8" s="1"/>
  <c r="F142" i="8"/>
  <c r="J142" i="8" s="1"/>
  <c r="Q142" i="8" s="1"/>
  <c r="F143" i="8"/>
  <c r="J143" i="8" s="1"/>
  <c r="Q143" i="8" s="1"/>
  <c r="P138" i="1"/>
  <c r="P139" i="1"/>
  <c r="D6" i="8"/>
  <c r="S6" i="1"/>
  <c r="L78" i="1"/>
  <c r="P78" i="1"/>
  <c r="L6" i="1"/>
  <c r="P6" i="1"/>
  <c r="L15" i="1"/>
  <c r="P26" i="1"/>
  <c r="S26" i="1" s="1"/>
  <c r="L7" i="1"/>
  <c r="L65" i="1"/>
  <c r="L75" i="1"/>
  <c r="P10" i="1"/>
  <c r="S10" i="1" s="1"/>
  <c r="L66" i="1"/>
  <c r="L80" i="1"/>
  <c r="L92" i="1"/>
  <c r="P48" i="1"/>
  <c r="S48" i="1" s="1"/>
  <c r="P50" i="1"/>
  <c r="S50" i="1" s="1"/>
  <c r="P102" i="1"/>
  <c r="S102" i="1" s="1"/>
  <c r="P8" i="1"/>
  <c r="S8" i="1" s="1"/>
  <c r="L116" i="1"/>
  <c r="L44" i="1"/>
  <c r="P53" i="1"/>
  <c r="S53" i="1" s="1"/>
  <c r="L70" i="1"/>
  <c r="P142" i="1"/>
  <c r="L128" i="1"/>
  <c r="L27" i="1"/>
  <c r="P76" i="1"/>
  <c r="S76" i="1" s="1"/>
  <c r="P77" i="1"/>
  <c r="S77" i="1" s="1"/>
  <c r="P136" i="1"/>
  <c r="P107" i="1"/>
  <c r="S107" i="1" s="1"/>
  <c r="L13" i="1"/>
  <c r="P25" i="1"/>
  <c r="S25" i="1" s="1"/>
  <c r="L20" i="1"/>
  <c r="P103" i="1"/>
  <c r="S103" i="1" s="1"/>
  <c r="P118" i="1"/>
  <c r="S118" i="1" s="1"/>
  <c r="P41" i="1"/>
  <c r="S41" i="1" s="1"/>
  <c r="P43" i="1"/>
  <c r="S43" i="1" s="1"/>
  <c r="L73" i="1"/>
  <c r="L109" i="1"/>
  <c r="P130" i="1"/>
  <c r="S130" i="1" s="1"/>
  <c r="L29" i="1"/>
  <c r="L129" i="1"/>
  <c r="L135" i="1"/>
  <c r="P7" i="1"/>
  <c r="S7" i="1" s="1"/>
  <c r="L16" i="1"/>
  <c r="P112" i="1"/>
  <c r="S112" i="1" s="1"/>
  <c r="P141" i="1"/>
  <c r="P126" i="1"/>
  <c r="S126" i="1" s="1"/>
  <c r="L97" i="1"/>
  <c r="L46" i="1"/>
  <c r="L131" i="1"/>
  <c r="P28" i="1"/>
  <c r="S28" i="1" s="1"/>
  <c r="P115" i="1"/>
  <c r="S115" i="1" s="1"/>
  <c r="P86" i="1"/>
  <c r="S86" i="1" s="1"/>
  <c r="P63" i="1"/>
  <c r="S63" i="1" s="1"/>
  <c r="P51" i="1"/>
  <c r="S51" i="1" s="1"/>
  <c r="P64" i="1"/>
  <c r="S64" i="1" s="1"/>
  <c r="S78" i="1"/>
  <c r="P57" i="1"/>
  <c r="S57" i="1" s="1"/>
  <c r="L106" i="1"/>
  <c r="P23" i="1"/>
  <c r="S23" i="1" s="1"/>
  <c r="L120" i="1"/>
  <c r="P39" i="1"/>
  <c r="S39" i="1" s="1"/>
  <c r="P79" i="1"/>
  <c r="S79" i="1" s="1"/>
  <c r="L83" i="1"/>
  <c r="P113" i="1"/>
  <c r="S113" i="1" s="1"/>
  <c r="L127" i="1"/>
  <c r="P84" i="1"/>
  <c r="S84" i="1" s="1"/>
  <c r="P47" i="1"/>
  <c r="S47" i="1" s="1"/>
  <c r="P143" i="1"/>
  <c r="L96" i="1"/>
  <c r="P104" i="1"/>
  <c r="S104" i="1" s="1"/>
  <c r="L35" i="1"/>
  <c r="L125" i="1"/>
  <c r="L133" i="1"/>
  <c r="F26" i="8"/>
  <c r="J26" i="8" s="1"/>
  <c r="Q26" i="8" s="1"/>
  <c r="F78" i="8"/>
  <c r="J78" i="8" s="1"/>
  <c r="Q78" i="8" s="1"/>
  <c r="F29" i="8"/>
  <c r="F115" i="8"/>
  <c r="J115" i="8" s="1"/>
  <c r="Q115" i="8" s="1"/>
  <c r="F126" i="8"/>
  <c r="J126" i="8" s="1"/>
  <c r="Q126" i="8" s="1"/>
  <c r="F38" i="8"/>
  <c r="J38" i="8" s="1"/>
  <c r="Q38" i="8" s="1"/>
  <c r="F88" i="8"/>
  <c r="J88" i="8" s="1"/>
  <c r="Q88" i="8" s="1"/>
  <c r="F12" i="8"/>
  <c r="J12" i="8" s="1"/>
  <c r="Q12" i="8" s="1"/>
  <c r="F93" i="8"/>
  <c r="J93" i="8" s="1"/>
  <c r="Q93" i="8" s="1"/>
  <c r="F34" i="8"/>
  <c r="J34" i="8" s="1"/>
  <c r="Q34" i="8" s="1"/>
  <c r="F130" i="8"/>
  <c r="J130" i="8" s="1"/>
  <c r="Q130" i="8" s="1"/>
  <c r="F25" i="8"/>
  <c r="J25" i="8" s="1"/>
  <c r="Q25" i="8" s="1"/>
  <c r="F6" i="8"/>
  <c r="J6" i="8" s="1"/>
  <c r="Q6" i="8" s="1"/>
  <c r="F122" i="8"/>
  <c r="J122" i="8" s="1"/>
  <c r="Q122" i="8" s="1"/>
  <c r="F80" i="8"/>
  <c r="J80" i="8" s="1"/>
  <c r="Q80" i="8" s="1"/>
  <c r="F58" i="8"/>
  <c r="J58" i="8" s="1"/>
  <c r="Q58" i="8" s="1"/>
  <c r="F73" i="8"/>
  <c r="J73" i="8" s="1"/>
  <c r="Q73" i="8" s="1"/>
  <c r="F59" i="8"/>
  <c r="J59" i="8" s="1"/>
  <c r="Q59" i="8" s="1"/>
  <c r="F129" i="8"/>
  <c r="J129" i="8" s="1"/>
  <c r="Q129" i="8" s="1"/>
  <c r="F83" i="8"/>
  <c r="J83" i="8" s="1"/>
  <c r="Q83" i="8" s="1"/>
  <c r="F70" i="8"/>
  <c r="J70" i="8" s="1"/>
  <c r="Q70" i="8" s="1"/>
  <c r="F127" i="8"/>
  <c r="J127" i="8" s="1"/>
  <c r="Q127" i="8" s="1"/>
  <c r="F131" i="8"/>
  <c r="J131" i="8" s="1"/>
  <c r="Q131" i="8" s="1"/>
  <c r="F14" i="8"/>
  <c r="J14" i="8" s="1"/>
  <c r="Q14" i="8" s="1"/>
  <c r="F20" i="8"/>
  <c r="J20" i="8" s="1"/>
  <c r="Q20" i="8" s="1"/>
  <c r="F72" i="8"/>
  <c r="J72" i="8" s="1"/>
  <c r="Q72" i="8" s="1"/>
  <c r="F44" i="8"/>
  <c r="J44" i="8" s="1"/>
  <c r="Q44" i="8" s="1"/>
  <c r="F117" i="8"/>
  <c r="J117" i="8" s="1"/>
  <c r="Q117" i="8" s="1"/>
  <c r="F113" i="8"/>
  <c r="J113" i="8" s="1"/>
  <c r="Q113" i="8" s="1"/>
  <c r="F103" i="8"/>
  <c r="J103" i="8" s="1"/>
  <c r="Q103" i="8" s="1"/>
  <c r="F66" i="8"/>
  <c r="J66" i="8" s="1"/>
  <c r="Q66" i="8" s="1"/>
  <c r="F95" i="8"/>
  <c r="J95" i="8" s="1"/>
  <c r="Q95" i="8" s="1"/>
  <c r="F37" i="8"/>
  <c r="J37" i="8" s="1"/>
  <c r="Q37" i="8" s="1"/>
  <c r="F42" i="8"/>
  <c r="J42" i="8" s="1"/>
  <c r="Q42" i="8" s="1"/>
  <c r="F8" i="8"/>
  <c r="J8" i="8" s="1"/>
  <c r="Q8" i="8" s="1"/>
  <c r="F91" i="8"/>
  <c r="J91" i="8" s="1"/>
  <c r="Q91" i="8" s="1"/>
  <c r="F94" i="8"/>
  <c r="J94" i="8" s="1"/>
  <c r="Q94" i="8" s="1"/>
  <c r="F97" i="8"/>
  <c r="J97" i="8" s="1"/>
  <c r="Q97" i="8" s="1"/>
  <c r="F68" i="8"/>
  <c r="J68" i="8" s="1"/>
  <c r="Q68" i="8" s="1"/>
  <c r="F125" i="8"/>
  <c r="J125" i="8" s="1"/>
  <c r="Q125" i="8" s="1"/>
  <c r="F27" i="8"/>
  <c r="J27" i="8" s="1"/>
  <c r="Q27" i="8" s="1"/>
  <c r="F17" i="8"/>
  <c r="J17" i="8" s="1"/>
  <c r="Q17" i="8" s="1"/>
  <c r="F47" i="8"/>
  <c r="J47" i="8" s="1"/>
  <c r="Q47" i="8" s="1"/>
  <c r="F92" i="8"/>
  <c r="J92" i="8" s="1"/>
  <c r="Q92" i="8" s="1"/>
  <c r="F79" i="8"/>
  <c r="J79" i="8" s="1"/>
  <c r="Q79" i="8" s="1"/>
  <c r="F132" i="8"/>
  <c r="J132" i="8" s="1"/>
  <c r="Q132" i="8" s="1"/>
  <c r="F43" i="8"/>
  <c r="J43" i="8" s="1"/>
  <c r="Q43" i="8" s="1"/>
  <c r="F118" i="8"/>
  <c r="J118" i="8" s="1"/>
  <c r="Q118" i="8" s="1"/>
  <c r="F71" i="8"/>
  <c r="J71" i="8" s="1"/>
  <c r="Q71" i="8" s="1"/>
  <c r="F69" i="8"/>
  <c r="J69" i="8" s="1"/>
  <c r="Q69" i="8" s="1"/>
  <c r="F24" i="8"/>
  <c r="J24" i="8" s="1"/>
  <c r="Q24" i="8" s="1"/>
  <c r="F134" i="8"/>
  <c r="J134" i="8" s="1"/>
  <c r="Q134" i="8" s="1"/>
  <c r="F67" i="8"/>
  <c r="J67" i="8" s="1"/>
  <c r="Q67" i="8" s="1"/>
  <c r="F10" i="8"/>
  <c r="J10" i="8" s="1"/>
  <c r="Q10" i="8" s="1"/>
  <c r="F9" i="8"/>
  <c r="J9" i="8" s="1"/>
  <c r="Q9" i="8" s="1"/>
  <c r="F111" i="8"/>
  <c r="J111" i="8" s="1"/>
  <c r="Q111" i="8" s="1"/>
  <c r="F50" i="8"/>
  <c r="J50" i="8" s="1"/>
  <c r="Q50" i="8" s="1"/>
  <c r="F39" i="8"/>
  <c r="J39" i="8" s="1"/>
  <c r="Q39" i="8" s="1"/>
  <c r="F15" i="8"/>
  <c r="J15" i="8" s="1"/>
  <c r="Q15" i="8" s="1"/>
  <c r="F65" i="8"/>
  <c r="J65" i="8" s="1"/>
  <c r="Q65" i="8" s="1"/>
  <c r="F104" i="8"/>
  <c r="J104" i="8" s="1"/>
  <c r="Q104" i="8" s="1"/>
  <c r="F18" i="8"/>
  <c r="J18" i="8" s="1"/>
  <c r="Q18" i="8" s="1"/>
  <c r="F86" i="8"/>
  <c r="J86" i="8" s="1"/>
  <c r="Q86" i="8" s="1"/>
  <c r="F128" i="8"/>
  <c r="J128" i="8" s="1"/>
  <c r="Q128" i="8" s="1"/>
  <c r="F112" i="8"/>
  <c r="J112" i="8" s="1"/>
  <c r="Q112" i="8" s="1"/>
  <c r="F99" i="8"/>
  <c r="J99" i="8" s="1"/>
  <c r="Q99" i="8" s="1"/>
  <c r="F52" i="8"/>
  <c r="J52" i="8" s="1"/>
  <c r="Q52" i="8" s="1"/>
  <c r="F98" i="8"/>
  <c r="J98" i="8" s="1"/>
  <c r="Q98" i="8" s="1"/>
  <c r="F22" i="8"/>
  <c r="J22" i="8" s="1"/>
  <c r="Q22" i="8" s="1"/>
  <c r="F87" i="8"/>
  <c r="J87" i="8" s="1"/>
  <c r="Q87" i="8" s="1"/>
  <c r="F75" i="8"/>
  <c r="J75" i="8" s="1"/>
  <c r="Q75" i="8" s="1"/>
  <c r="F19" i="8"/>
  <c r="J19" i="8" s="1"/>
  <c r="Q19" i="8" s="1"/>
  <c r="F102" i="8"/>
  <c r="J102" i="8" s="1"/>
  <c r="Q102" i="8" s="1"/>
  <c r="F62" i="8"/>
  <c r="J62" i="8" s="1"/>
  <c r="Q62" i="8" s="1"/>
  <c r="F16" i="8"/>
  <c r="J16" i="8" s="1"/>
  <c r="Q16" i="8" s="1"/>
  <c r="F85" i="8"/>
  <c r="J85" i="8" s="1"/>
  <c r="Q85" i="8" s="1"/>
  <c r="F46" i="8"/>
  <c r="J46" i="8" s="1"/>
  <c r="Q46" i="8" s="1"/>
  <c r="F35" i="8"/>
  <c r="J35" i="8" s="1"/>
  <c r="Q35" i="8" s="1"/>
  <c r="F74" i="8"/>
  <c r="J74" i="8" s="1"/>
  <c r="Q74" i="8" s="1"/>
  <c r="F32" i="8"/>
  <c r="F7" i="8"/>
  <c r="J7" i="8" s="1"/>
  <c r="Q7" i="8" s="1"/>
  <c r="F30" i="8"/>
  <c r="J30" i="8" s="1"/>
  <c r="Q30" i="8" s="1"/>
  <c r="F21" i="8"/>
  <c r="J21" i="8" s="1"/>
  <c r="Q21" i="8" s="1"/>
  <c r="F114" i="8"/>
  <c r="J114" i="8" s="1"/>
  <c r="Q114" i="8" s="1"/>
  <c r="F120" i="8"/>
  <c r="J120" i="8" s="1"/>
  <c r="Q120" i="8" s="1"/>
  <c r="F41" i="8"/>
  <c r="J41" i="8" s="1"/>
  <c r="Q41" i="8" s="1"/>
  <c r="F54" i="8"/>
  <c r="J54" i="8" s="1"/>
  <c r="Q54" i="8" s="1"/>
  <c r="F135" i="8"/>
  <c r="J135" i="8" s="1"/>
  <c r="Q135" i="8" s="1"/>
  <c r="F136" i="8"/>
  <c r="F123" i="8"/>
  <c r="J123" i="8" s="1"/>
  <c r="Q123" i="8" s="1"/>
  <c r="F51" i="8"/>
  <c r="J51" i="8" s="1"/>
  <c r="Q51" i="8" s="1"/>
  <c r="F28" i="8"/>
  <c r="J28" i="8" s="1"/>
  <c r="Q28" i="8" s="1"/>
  <c r="F11" i="8"/>
  <c r="J11" i="8" s="1"/>
  <c r="Q11" i="8" s="1"/>
  <c r="F81" i="8"/>
  <c r="J81" i="8" s="1"/>
  <c r="Q81" i="8" s="1"/>
  <c r="F116" i="8"/>
  <c r="J116" i="8" s="1"/>
  <c r="Q116" i="8" s="1"/>
  <c r="F64" i="8"/>
  <c r="J64" i="8" s="1"/>
  <c r="Q64" i="8" s="1"/>
  <c r="F106" i="8"/>
  <c r="J106" i="8" s="1"/>
  <c r="Q106" i="8" s="1"/>
  <c r="F96" i="8"/>
  <c r="J96" i="8" s="1"/>
  <c r="Q96" i="8" s="1"/>
  <c r="F107" i="8"/>
  <c r="J107" i="8" s="1"/>
  <c r="Q107" i="8" s="1"/>
  <c r="F23" i="8"/>
  <c r="J23" i="8" s="1"/>
  <c r="Q23" i="8" s="1"/>
  <c r="F53" i="8"/>
  <c r="J53" i="8" s="1"/>
  <c r="Q53" i="8" s="1"/>
  <c r="F119" i="8"/>
  <c r="J119" i="8" s="1"/>
  <c r="Q119" i="8" s="1"/>
  <c r="F36" i="8"/>
  <c r="J36" i="8" s="1"/>
  <c r="Q36" i="8" s="1"/>
  <c r="F121" i="8"/>
  <c r="J121" i="8" s="1"/>
  <c r="Q121" i="8" s="1"/>
  <c r="F101" i="8"/>
  <c r="J101" i="8" s="1"/>
  <c r="Q101" i="8" s="1"/>
  <c r="F90" i="8"/>
  <c r="J90" i="8" s="1"/>
  <c r="Q90" i="8" s="1"/>
  <c r="F61" i="8"/>
  <c r="J61" i="8" s="1"/>
  <c r="Q61" i="8" s="1"/>
  <c r="F57" i="8"/>
  <c r="J57" i="8" s="1"/>
  <c r="Q57" i="8" s="1"/>
  <c r="F89" i="8"/>
  <c r="J89" i="8" s="1"/>
  <c r="Q89" i="8" s="1"/>
  <c r="F55" i="8"/>
  <c r="J55" i="8" s="1"/>
  <c r="Q55" i="8" s="1"/>
  <c r="F77" i="8"/>
  <c r="J77" i="8" s="1"/>
  <c r="Q77" i="8" s="1"/>
  <c r="F49" i="8"/>
  <c r="J49" i="8" s="1"/>
  <c r="Q49" i="8" s="1"/>
  <c r="F84" i="8"/>
  <c r="J84" i="8" s="1"/>
  <c r="Q84" i="8" s="1"/>
  <c r="F82" i="8"/>
  <c r="J82" i="8" s="1"/>
  <c r="Q82" i="8" s="1"/>
  <c r="F108" i="8"/>
  <c r="J108" i="8" s="1"/>
  <c r="Q108" i="8" s="1"/>
  <c r="F124" i="8"/>
  <c r="J124" i="8" s="1"/>
  <c r="Q124" i="8" s="1"/>
  <c r="F109" i="8"/>
  <c r="J109" i="8" s="1"/>
  <c r="Q109" i="8" s="1"/>
  <c r="F45" i="8"/>
  <c r="J45" i="8" s="1"/>
  <c r="Q45" i="8" s="1"/>
  <c r="F110" i="8"/>
  <c r="J110" i="8" s="1"/>
  <c r="Q110" i="8" s="1"/>
  <c r="F63" i="8"/>
  <c r="J63" i="8" s="1"/>
  <c r="Q63" i="8" s="1"/>
  <c r="F76" i="8"/>
  <c r="J76" i="8" s="1"/>
  <c r="Q76" i="8" s="1"/>
  <c r="F13" i="8"/>
  <c r="J13" i="8" s="1"/>
  <c r="Q13" i="8" s="1"/>
  <c r="F40" i="8"/>
  <c r="J40" i="8" s="1"/>
  <c r="Q40" i="8" s="1"/>
  <c r="F48" i="8"/>
  <c r="J48" i="8" s="1"/>
  <c r="Q48" i="8" s="1"/>
  <c r="F133" i="8"/>
  <c r="J133" i="8" s="1"/>
  <c r="Q133" i="8" s="1"/>
  <c r="F137" i="8"/>
  <c r="J137" i="8" s="1"/>
  <c r="Q137" i="8" s="1"/>
  <c r="J60" i="8"/>
  <c r="Q60" i="8" s="1"/>
  <c r="F33" i="8"/>
  <c r="J33" i="8" s="1"/>
  <c r="Q33" i="8" s="1"/>
  <c r="J5" i="8" l="1"/>
  <c r="Q5" i="8" s="1"/>
  <c r="Z262" i="7"/>
  <c r="P56" i="1"/>
  <c r="L56" i="1"/>
  <c r="L100" i="1"/>
  <c r="P100" i="1"/>
  <c r="D262" i="8"/>
  <c r="D264" i="8" s="1"/>
  <c r="L140" i="1"/>
  <c r="F140" i="8"/>
  <c r="F262" i="8" s="1"/>
  <c r="F264" i="8" s="1"/>
  <c r="J32" i="8"/>
  <c r="Q32" i="8" s="1"/>
  <c r="J29" i="8"/>
  <c r="Q29" i="8" s="1"/>
  <c r="AB140" i="7"/>
  <c r="AB262" i="7"/>
  <c r="Z140" i="7"/>
  <c r="S262" i="1"/>
  <c r="S264" i="1" s="1"/>
  <c r="P262" i="1"/>
  <c r="J264" i="1"/>
  <c r="L264" i="1" s="1"/>
  <c r="L5" i="1"/>
  <c r="H264" i="1"/>
  <c r="P264" i="1" l="1"/>
  <c r="Z264" i="7"/>
  <c r="J140" i="8"/>
  <c r="Q140" i="8" s="1"/>
  <c r="Q262" i="8" l="1"/>
  <c r="J262" i="8"/>
  <c r="J136" i="8"/>
  <c r="H264" i="8"/>
  <c r="H268" i="8" s="1"/>
  <c r="H269" i="8" l="1"/>
  <c r="J267" i="8"/>
  <c r="J268" i="8"/>
  <c r="Q136" i="8"/>
  <c r="Q264" i="8" s="1"/>
  <c r="J264" i="8"/>
  <c r="H270" i="8"/>
  <c r="J270" i="8" s="1"/>
  <c r="J269" i="8"/>
  <c r="J272" i="8" l="1"/>
  <c r="H272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Bennett</author>
  </authors>
  <commentList>
    <comment ref="C94" authorId="0" shapeId="0" xr:uid="{DD4C4289-67E9-4F25-8951-D799932941AC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Rounding Error found and corrected on previous assessment templates (notation).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Anthony Bennett</author>
  </authors>
  <commentList>
    <comment ref="AB5" authorId="0" shapeId="0" xr:uid="{00000000-0006-0000-0400-00000D000000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This is another formula used to make sure there is no difference and if so highlight them (not sure why we have two of these type of formulas).</t>
        </r>
      </text>
    </comment>
    <comment ref="F102" authorId="0" shapeId="0" xr:uid="{C90BD3E8-6702-42BE-BEEC-6A5682724928}">
      <text>
        <r>
          <rPr>
            <b/>
            <sz val="9"/>
            <color indexed="81"/>
            <rFont val="Tahoma"/>
            <family val="2"/>
          </rPr>
          <t>Anthony Bennett:</t>
        </r>
        <r>
          <rPr>
            <sz val="9"/>
            <color indexed="81"/>
            <rFont val="Tahoma"/>
            <family val="2"/>
          </rPr>
          <t xml:space="preserve">
The accepted claims changed from initial data pull to final data pull.</t>
        </r>
      </text>
    </comment>
  </commentList>
</comments>
</file>

<file path=xl/sharedStrings.xml><?xml version="1.0" encoding="utf-8"?>
<sst xmlns="http://schemas.openxmlformats.org/spreadsheetml/2006/main" count="3639" uniqueCount="599">
  <si>
    <t>Total</t>
  </si>
  <si>
    <t>Payroll</t>
  </si>
  <si>
    <t>IFR</t>
  </si>
  <si>
    <t>Assessment</t>
  </si>
  <si>
    <t>% of</t>
  </si>
  <si>
    <t>Percentage</t>
  </si>
  <si>
    <t>Amount</t>
  </si>
  <si>
    <t>A101</t>
  </si>
  <si>
    <t>A102</t>
  </si>
  <si>
    <t>A103</t>
  </si>
  <si>
    <t>Legislative Council</t>
  </si>
  <si>
    <t>A104</t>
  </si>
  <si>
    <t>Legislative Budget Board</t>
  </si>
  <si>
    <t>A105</t>
  </si>
  <si>
    <t>Legislative Reference Library</t>
  </si>
  <si>
    <t>A116</t>
  </si>
  <si>
    <t>Sunset Advisory Commission</t>
  </si>
  <si>
    <t>A201</t>
  </si>
  <si>
    <t>Supreme Court of Texas</t>
  </si>
  <si>
    <t>A203</t>
  </si>
  <si>
    <t>Law Examiners, Board of</t>
  </si>
  <si>
    <t>A211</t>
  </si>
  <si>
    <t>Court of Criminal Appeals</t>
  </si>
  <si>
    <t>A212</t>
  </si>
  <si>
    <t>Court Administration, Office of</t>
  </si>
  <si>
    <t>A213</t>
  </si>
  <si>
    <t>Prosecuting Attorney, State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</si>
  <si>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</si>
  <si>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</si>
  <si>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</si>
  <si>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</si>
  <si>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</si>
  <si>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</si>
  <si>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</si>
  <si>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</si>
  <si>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</si>
  <si>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</si>
  <si>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</si>
  <si>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</si>
  <si>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</si>
  <si>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</si>
  <si>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A241</t>
  </si>
  <si>
    <t>A242</t>
  </si>
  <si>
    <t>Judicial Conduct, State Commission on</t>
  </si>
  <si>
    <t>A243</t>
  </si>
  <si>
    <t>Law Library, State</t>
  </si>
  <si>
    <t>A301</t>
  </si>
  <si>
    <t>Governor's Office</t>
  </si>
  <si>
    <t>A302</t>
  </si>
  <si>
    <t>Attorney General, Office of the</t>
  </si>
  <si>
    <t>A303</t>
  </si>
  <si>
    <t>A304</t>
  </si>
  <si>
    <t>Comptroller of Public Accounts, State</t>
  </si>
  <si>
    <t>A305</t>
  </si>
  <si>
    <t>General Land Office</t>
  </si>
  <si>
    <t>A306</t>
  </si>
  <si>
    <t>Library and Archives Commission</t>
  </si>
  <si>
    <t>A307</t>
  </si>
  <si>
    <t>Secretary of State</t>
  </si>
  <si>
    <t>A308</t>
  </si>
  <si>
    <t>State Auditor's Office</t>
  </si>
  <si>
    <t>A312</t>
  </si>
  <si>
    <t>A313</t>
  </si>
  <si>
    <t>Information Resources, Dept. of</t>
  </si>
  <si>
    <t>A320</t>
  </si>
  <si>
    <t>A329</t>
  </si>
  <si>
    <t>Real Estate Commission</t>
  </si>
  <si>
    <t>A332</t>
  </si>
  <si>
    <t>Housing and Community Affairs, Dept. of</t>
  </si>
  <si>
    <t>A338</t>
  </si>
  <si>
    <t>Pension Review Board, State</t>
  </si>
  <si>
    <t>A347</t>
  </si>
  <si>
    <t>Public Finance Authority</t>
  </si>
  <si>
    <t>A352</t>
  </si>
  <si>
    <t>Bond Review Board</t>
  </si>
  <si>
    <t>A356</t>
  </si>
  <si>
    <t>Ethics Commission</t>
  </si>
  <si>
    <t>A359</t>
  </si>
  <si>
    <t>Office of Public Insurance Counsel</t>
  </si>
  <si>
    <t>A360</t>
  </si>
  <si>
    <t>State Office of Administrative Hearings</t>
  </si>
  <si>
    <t>A364</t>
  </si>
  <si>
    <t>Health Professions Council</t>
  </si>
  <si>
    <t>A401</t>
  </si>
  <si>
    <t>A403</t>
  </si>
  <si>
    <t>Veterans Commission</t>
  </si>
  <si>
    <t>A405</t>
  </si>
  <si>
    <t>Public Safety, Department of</t>
  </si>
  <si>
    <t>A407</t>
  </si>
  <si>
    <t>A409</t>
  </si>
  <si>
    <t>Jail Standards, Commission on</t>
  </si>
  <si>
    <t>A411</t>
  </si>
  <si>
    <t>Fire Protection, Commission on</t>
  </si>
  <si>
    <t>A450</t>
  </si>
  <si>
    <t>A451</t>
  </si>
  <si>
    <t>Banking, State Department of</t>
  </si>
  <si>
    <t>A452</t>
  </si>
  <si>
    <t>Licensing and Regulation, Dept. of</t>
  </si>
  <si>
    <t>A454</t>
  </si>
  <si>
    <t>Insurance, Department of</t>
  </si>
  <si>
    <t>A455</t>
  </si>
  <si>
    <t>A456</t>
  </si>
  <si>
    <t>Plumbing Examiners, State Board of</t>
  </si>
  <si>
    <t>A457</t>
  </si>
  <si>
    <t>Public Accountancy, State Board of</t>
  </si>
  <si>
    <t>A458</t>
  </si>
  <si>
    <t>Alcoholic Beverage Commission</t>
  </si>
  <si>
    <t>A459</t>
  </si>
  <si>
    <t>Architectural Examiners, Board of</t>
  </si>
  <si>
    <t>A460</t>
  </si>
  <si>
    <t>A466</t>
  </si>
  <si>
    <t>Consumer Credit Commissioner, Office of</t>
  </si>
  <si>
    <t>A469</t>
  </si>
  <si>
    <t>Credit Union Department</t>
  </si>
  <si>
    <t>A473</t>
  </si>
  <si>
    <t>Public Utility Commission of Texas</t>
  </si>
  <si>
    <t>A475</t>
  </si>
  <si>
    <t>Public Utility Counsel, Office of</t>
  </si>
  <si>
    <t>A476</t>
  </si>
  <si>
    <t>Racing Commission</t>
  </si>
  <si>
    <t>A477</t>
  </si>
  <si>
    <t>A479</t>
  </si>
  <si>
    <t>Office of Risk Management, State</t>
  </si>
  <si>
    <t>A503</t>
  </si>
  <si>
    <t>A504</t>
  </si>
  <si>
    <t>Board of Dental Examiners</t>
  </si>
  <si>
    <t>A507</t>
  </si>
  <si>
    <t>A508</t>
  </si>
  <si>
    <t>Chiropractic Examiners, Board of</t>
  </si>
  <si>
    <t>A513</t>
  </si>
  <si>
    <t>Funeral Service Commission</t>
  </si>
  <si>
    <t>A514</t>
  </si>
  <si>
    <t>Optometry Board</t>
  </si>
  <si>
    <t>A515</t>
  </si>
  <si>
    <t>Pharmacy, Board of</t>
  </si>
  <si>
    <t>A529</t>
  </si>
  <si>
    <t>Health &amp; Human Services Commission</t>
  </si>
  <si>
    <t>A530</t>
  </si>
  <si>
    <t>A533</t>
  </si>
  <si>
    <t>Physical &amp; Occup Therapy Examr, Exec Counc</t>
  </si>
  <si>
    <t>A551</t>
  </si>
  <si>
    <t>Agriculture, Department of</t>
  </si>
  <si>
    <t>A554</t>
  </si>
  <si>
    <t>Animal Health Commission</t>
  </si>
  <si>
    <t>A578</t>
  </si>
  <si>
    <t>Veterinary Medical Examiners</t>
  </si>
  <si>
    <t>A580</t>
  </si>
  <si>
    <t>Water Development Board</t>
  </si>
  <si>
    <t>A582</t>
  </si>
  <si>
    <t>A592</t>
  </si>
  <si>
    <t>A696</t>
  </si>
  <si>
    <t>Criminal Justice, Department of</t>
  </si>
  <si>
    <t>A701</t>
  </si>
  <si>
    <t>Education Agency, Texas</t>
  </si>
  <si>
    <t>A717</t>
  </si>
  <si>
    <t>Texas Southern University</t>
  </si>
  <si>
    <t>A719</t>
  </si>
  <si>
    <t>Texas State Technical College - System</t>
  </si>
  <si>
    <t>A730</t>
  </si>
  <si>
    <t>University of Houston</t>
  </si>
  <si>
    <t>A731</t>
  </si>
  <si>
    <t>Texas Woman's University</t>
  </si>
  <si>
    <t>A733</t>
  </si>
  <si>
    <t>Texas Tech University</t>
  </si>
  <si>
    <t>A734</t>
  </si>
  <si>
    <t>Lamar University - Beaumont</t>
  </si>
  <si>
    <t>A735</t>
  </si>
  <si>
    <t>Midwestern State University</t>
  </si>
  <si>
    <t>A737</t>
  </si>
  <si>
    <t>Angelo State University</t>
  </si>
  <si>
    <t>A739</t>
  </si>
  <si>
    <t>A752</t>
  </si>
  <si>
    <t>University of North Texas</t>
  </si>
  <si>
    <t>A753</t>
  </si>
  <si>
    <t>Sam Houston State University</t>
  </si>
  <si>
    <t>A754</t>
  </si>
  <si>
    <t>A756</t>
  </si>
  <si>
    <t>Sul Ross State University</t>
  </si>
  <si>
    <t>A758</t>
  </si>
  <si>
    <t>A759</t>
  </si>
  <si>
    <t>University of Houston - Clear Lake</t>
  </si>
  <si>
    <t>A763</t>
  </si>
  <si>
    <t>Univ. of North Texas Health Science Center</t>
  </si>
  <si>
    <t>A771</t>
  </si>
  <si>
    <t>A772</t>
  </si>
  <si>
    <t>Deaf, School for the</t>
  </si>
  <si>
    <t>A781</t>
  </si>
  <si>
    <t>Coordinating Board, Higher Education</t>
  </si>
  <si>
    <t>A783</t>
  </si>
  <si>
    <t>A784</t>
  </si>
  <si>
    <t>University of Houston - Downtown</t>
  </si>
  <si>
    <t>A787</t>
  </si>
  <si>
    <t>A788</t>
  </si>
  <si>
    <t>A789</t>
  </si>
  <si>
    <t>A802</t>
  </si>
  <si>
    <t>A808</t>
  </si>
  <si>
    <t>Historical Commission</t>
  </si>
  <si>
    <t>A809</t>
  </si>
  <si>
    <t>Preservation Board, State</t>
  </si>
  <si>
    <t>A813</t>
  </si>
  <si>
    <t>Arts, Commission on the</t>
  </si>
  <si>
    <t>A907</t>
  </si>
  <si>
    <t>C001</t>
  </si>
  <si>
    <t>Anderson</t>
  </si>
  <si>
    <t>C002</t>
  </si>
  <si>
    <t>Andrews</t>
  </si>
  <si>
    <t>C003</t>
  </si>
  <si>
    <t>Angelina</t>
  </si>
  <si>
    <t>C011</t>
  </si>
  <si>
    <t>Bastrop</t>
  </si>
  <si>
    <t>C012</t>
  </si>
  <si>
    <t>Baylor</t>
  </si>
  <si>
    <t>C014</t>
  </si>
  <si>
    <t>Bell</t>
  </si>
  <si>
    <t>C015</t>
  </si>
  <si>
    <t>Bexar</t>
  </si>
  <si>
    <t>C019</t>
  </si>
  <si>
    <t>Bowie</t>
  </si>
  <si>
    <t>C020</t>
  </si>
  <si>
    <t>Brazoria</t>
  </si>
  <si>
    <t>C021</t>
  </si>
  <si>
    <t>Brazos</t>
  </si>
  <si>
    <t>C025</t>
  </si>
  <si>
    <t>Brown</t>
  </si>
  <si>
    <t>C027</t>
  </si>
  <si>
    <t>Burnet</t>
  </si>
  <si>
    <t>C028</t>
  </si>
  <si>
    <t>Caldwell</t>
  </si>
  <si>
    <t>C031</t>
  </si>
  <si>
    <t>Cameron</t>
  </si>
  <si>
    <t>C034</t>
  </si>
  <si>
    <t>Cass</t>
  </si>
  <si>
    <t>C037</t>
  </si>
  <si>
    <t>Cherokee</t>
  </si>
  <si>
    <t>C038</t>
  </si>
  <si>
    <t>Childress</t>
  </si>
  <si>
    <t>C043</t>
  </si>
  <si>
    <t>Collin</t>
  </si>
  <si>
    <t>C047</t>
  </si>
  <si>
    <t>Comanche</t>
  </si>
  <si>
    <t>C049</t>
  </si>
  <si>
    <t>Cooke</t>
  </si>
  <si>
    <t>C050</t>
  </si>
  <si>
    <t>Coryell</t>
  </si>
  <si>
    <t>C057</t>
  </si>
  <si>
    <t>Dallas</t>
  </si>
  <si>
    <t>C058</t>
  </si>
  <si>
    <t>Dawson</t>
  </si>
  <si>
    <t>C059</t>
  </si>
  <si>
    <t>Deaf Smith</t>
  </si>
  <si>
    <t>C061</t>
  </si>
  <si>
    <t>Denton</t>
  </si>
  <si>
    <t>C067</t>
  </si>
  <si>
    <t>Eastland</t>
  </si>
  <si>
    <t>C068</t>
  </si>
  <si>
    <t>Ector</t>
  </si>
  <si>
    <t>C070</t>
  </si>
  <si>
    <t>Ellis</t>
  </si>
  <si>
    <t>C071</t>
  </si>
  <si>
    <t>El Paso</t>
  </si>
  <si>
    <t>C072</t>
  </si>
  <si>
    <t>Erath</t>
  </si>
  <si>
    <t>C073</t>
  </si>
  <si>
    <t>Falls</t>
  </si>
  <si>
    <t>C074</t>
  </si>
  <si>
    <t>Fannin</t>
  </si>
  <si>
    <t>C075</t>
  </si>
  <si>
    <t>Fayette</t>
  </si>
  <si>
    <t>C077</t>
  </si>
  <si>
    <t>Floyd</t>
  </si>
  <si>
    <t>C079</t>
  </si>
  <si>
    <t>Fort Bend</t>
  </si>
  <si>
    <t>C084</t>
  </si>
  <si>
    <t>Galveston</t>
  </si>
  <si>
    <t>C090</t>
  </si>
  <si>
    <t>Gray</t>
  </si>
  <si>
    <t>C091</t>
  </si>
  <si>
    <t>Grayson</t>
  </si>
  <si>
    <t>C092</t>
  </si>
  <si>
    <t>Gregg</t>
  </si>
  <si>
    <t>C094</t>
  </si>
  <si>
    <t>Guadalupe</t>
  </si>
  <si>
    <t>C095</t>
  </si>
  <si>
    <t>Hale</t>
  </si>
  <si>
    <t>C100</t>
  </si>
  <si>
    <t>Hardin</t>
  </si>
  <si>
    <t>C101</t>
  </si>
  <si>
    <t>Harris</t>
  </si>
  <si>
    <t>C102</t>
  </si>
  <si>
    <t>Harrison</t>
  </si>
  <si>
    <t>C104</t>
  </si>
  <si>
    <t>Haskell</t>
  </si>
  <si>
    <t>C107</t>
  </si>
  <si>
    <t>Henderson</t>
  </si>
  <si>
    <t>C108</t>
  </si>
  <si>
    <t>Hidalgo</t>
  </si>
  <si>
    <t>C109</t>
  </si>
  <si>
    <t>Hill</t>
  </si>
  <si>
    <t>C110</t>
  </si>
  <si>
    <t>Hockley</t>
  </si>
  <si>
    <t>C111</t>
  </si>
  <si>
    <t>Hood</t>
  </si>
  <si>
    <t>C112</t>
  </si>
  <si>
    <t>Hopkins</t>
  </si>
  <si>
    <t>C114</t>
  </si>
  <si>
    <t>Howard</t>
  </si>
  <si>
    <t>C116</t>
  </si>
  <si>
    <t>Hunt</t>
  </si>
  <si>
    <t>C117</t>
  </si>
  <si>
    <t>Hutchinson</t>
  </si>
  <si>
    <t>C121</t>
  </si>
  <si>
    <t>Jasper</t>
  </si>
  <si>
    <t>C123</t>
  </si>
  <si>
    <t>Jefferson</t>
  </si>
  <si>
    <t>C125</t>
  </si>
  <si>
    <t>Jim Wells</t>
  </si>
  <si>
    <t>C126</t>
  </si>
  <si>
    <t>Johnson</t>
  </si>
  <si>
    <t>C127</t>
  </si>
  <si>
    <t>Jones</t>
  </si>
  <si>
    <t>C129</t>
  </si>
  <si>
    <t>Kaufman</t>
  </si>
  <si>
    <t>C133</t>
  </si>
  <si>
    <t>Kerr</t>
  </si>
  <si>
    <t>C137</t>
  </si>
  <si>
    <t>Kleberg</t>
  </si>
  <si>
    <t>C139</t>
  </si>
  <si>
    <t>Lamar</t>
  </si>
  <si>
    <t>C140</t>
  </si>
  <si>
    <t>Lamb</t>
  </si>
  <si>
    <t>C143</t>
  </si>
  <si>
    <t>Lavaca</t>
  </si>
  <si>
    <t>C146</t>
  </si>
  <si>
    <t>Liberty</t>
  </si>
  <si>
    <t>C147</t>
  </si>
  <si>
    <t>Limestone</t>
  </si>
  <si>
    <t>C152</t>
  </si>
  <si>
    <t>Lubbock</t>
  </si>
  <si>
    <t>McCulloch</t>
  </si>
  <si>
    <t>McLennan</t>
  </si>
  <si>
    <t>C161</t>
  </si>
  <si>
    <t>Matagorda</t>
  </si>
  <si>
    <t>Maverick</t>
  </si>
  <si>
    <t>C165</t>
  </si>
  <si>
    <t>Midland</t>
  </si>
  <si>
    <t>C166</t>
  </si>
  <si>
    <t>Milam</t>
  </si>
  <si>
    <t>C169</t>
  </si>
  <si>
    <t>Montague</t>
  </si>
  <si>
    <t>C170</t>
  </si>
  <si>
    <t>Montgomery</t>
  </si>
  <si>
    <t>C171</t>
  </si>
  <si>
    <t>Moore</t>
  </si>
  <si>
    <t>C172</t>
  </si>
  <si>
    <t>Morris</t>
  </si>
  <si>
    <t>C174</t>
  </si>
  <si>
    <t>Nacogdoches</t>
  </si>
  <si>
    <t>C175</t>
  </si>
  <si>
    <t>Navarro</t>
  </si>
  <si>
    <t>C177</t>
  </si>
  <si>
    <t>Nolan</t>
  </si>
  <si>
    <t>C178</t>
  </si>
  <si>
    <t>Nueces</t>
  </si>
  <si>
    <t>C181</t>
  </si>
  <si>
    <t>Orange</t>
  </si>
  <si>
    <t>C182</t>
  </si>
  <si>
    <t>Palo Pinto</t>
  </si>
  <si>
    <t>C183</t>
  </si>
  <si>
    <t>Panola</t>
  </si>
  <si>
    <t>C184</t>
  </si>
  <si>
    <t>Parker</t>
  </si>
  <si>
    <t>C186</t>
  </si>
  <si>
    <t>Pecos</t>
  </si>
  <si>
    <t>C187</t>
  </si>
  <si>
    <t>Polk</t>
  </si>
  <si>
    <t>C188</t>
  </si>
  <si>
    <t>Potter</t>
  </si>
  <si>
    <t>C195</t>
  </si>
  <si>
    <t>Reeves</t>
  </si>
  <si>
    <t>C199</t>
  </si>
  <si>
    <t>Rockwall</t>
  </si>
  <si>
    <t>C201</t>
  </si>
  <si>
    <t>Rusk</t>
  </si>
  <si>
    <t>C205</t>
  </si>
  <si>
    <t>San Patricio</t>
  </si>
  <si>
    <t>C208</t>
  </si>
  <si>
    <t>Scurry</t>
  </si>
  <si>
    <t>C212</t>
  </si>
  <si>
    <t>Smith</t>
  </si>
  <si>
    <t>C214</t>
  </si>
  <si>
    <t>Starr</t>
  </si>
  <si>
    <t>C220</t>
  </si>
  <si>
    <t>Tarrant</t>
  </si>
  <si>
    <t>C221</t>
  </si>
  <si>
    <t>Taylor</t>
  </si>
  <si>
    <t>C223</t>
  </si>
  <si>
    <t>Terry</t>
  </si>
  <si>
    <t>C226</t>
  </si>
  <si>
    <t>Tom Green</t>
  </si>
  <si>
    <t>C227</t>
  </si>
  <si>
    <t>Travis</t>
  </si>
  <si>
    <t>C230</t>
  </si>
  <si>
    <t>Upshur</t>
  </si>
  <si>
    <t>C232</t>
  </si>
  <si>
    <t>Uvalde</t>
  </si>
  <si>
    <t>C233</t>
  </si>
  <si>
    <t>Val Verde</t>
  </si>
  <si>
    <t>C234</t>
  </si>
  <si>
    <t>Van Zandt</t>
  </si>
  <si>
    <t>C235</t>
  </si>
  <si>
    <t>Victoria</t>
  </si>
  <si>
    <t>C236</t>
  </si>
  <si>
    <t>Walker</t>
  </si>
  <si>
    <t>C240</t>
  </si>
  <si>
    <t>Webb</t>
  </si>
  <si>
    <t>C242</t>
  </si>
  <si>
    <t>Wheeler</t>
  </si>
  <si>
    <t>C243</t>
  </si>
  <si>
    <t>Wichita</t>
  </si>
  <si>
    <t>C244</t>
  </si>
  <si>
    <t>Wilbarger</t>
  </si>
  <si>
    <t>C246</t>
  </si>
  <si>
    <t>Williamson</t>
  </si>
  <si>
    <t>C248</t>
  </si>
  <si>
    <t>Winkler</t>
  </si>
  <si>
    <t>C250</t>
  </si>
  <si>
    <t>Wood</t>
  </si>
  <si>
    <t>C252</t>
  </si>
  <si>
    <t>Young</t>
  </si>
  <si>
    <t>weighted</t>
  </si>
  <si>
    <t>average</t>
  </si>
  <si>
    <t>raw</t>
  </si>
  <si>
    <t>adjusted</t>
  </si>
  <si>
    <t>IFR portion of</t>
  </si>
  <si>
    <t>With</t>
  </si>
  <si>
    <t xml:space="preserve">weighted </t>
  </si>
  <si>
    <t>FTE</t>
  </si>
  <si>
    <t>claims</t>
  </si>
  <si>
    <t>IFR avg.</t>
  </si>
  <si>
    <t>Limit</t>
  </si>
  <si>
    <t>Difference</t>
  </si>
  <si>
    <t>PAYOUT portion of</t>
  </si>
  <si>
    <t>avg.</t>
  </si>
  <si>
    <t>cap</t>
  </si>
  <si>
    <t>adjuster</t>
  </si>
  <si>
    <t>Costs</t>
  </si>
  <si>
    <t>(Payouts)</t>
  </si>
  <si>
    <t>Code</t>
  </si>
  <si>
    <t>Name</t>
  </si>
  <si>
    <t>Agency</t>
  </si>
  <si>
    <t>Comptroller's State Energy Conservation Office</t>
  </si>
  <si>
    <t>1</t>
  </si>
  <si>
    <t>2</t>
  </si>
  <si>
    <t>3</t>
  </si>
  <si>
    <t>4</t>
  </si>
  <si>
    <t>difference</t>
  </si>
  <si>
    <t>total</t>
  </si>
  <si>
    <t># Claims</t>
  </si>
  <si>
    <t>FTEs</t>
  </si>
  <si>
    <t>IFR MULTIPLIER:</t>
  </si>
  <si>
    <t>low</t>
  </si>
  <si>
    <t>less than</t>
  </si>
  <si>
    <t>moderate</t>
  </si>
  <si>
    <t>between low and high values</t>
  </si>
  <si>
    <t>high</t>
  </si>
  <si>
    <t>modifier</t>
  </si>
  <si>
    <t>modified</t>
  </si>
  <si>
    <t>FTE avg.</t>
  </si>
  <si>
    <t>Texas Comm. on Environmental Quality</t>
  </si>
  <si>
    <t>A769</t>
  </si>
  <si>
    <t>University of North Texas System Administration</t>
  </si>
  <si>
    <t>A481</t>
  </si>
  <si>
    <t>CSCDs</t>
  </si>
  <si>
    <t>A537</t>
  </si>
  <si>
    <t>Dept. of Family and Protective Services</t>
  </si>
  <si>
    <t>C159</t>
  </si>
  <si>
    <t>C160</t>
  </si>
  <si>
    <t>Dept. of State Health Services</t>
  </si>
  <si>
    <t>A448</t>
  </si>
  <si>
    <t>Office of Injured Employee Counsel</t>
  </si>
  <si>
    <t>Dept of Savings and Mortgage Lending</t>
  </si>
  <si>
    <t>Texas Medical Board</t>
  </si>
  <si>
    <t>over</t>
  </si>
  <si>
    <t>C052</t>
  </si>
  <si>
    <t>Crane</t>
  </si>
  <si>
    <t>Texas Facilities Commission</t>
  </si>
  <si>
    <t>Commission on State Emergency Communication</t>
  </si>
  <si>
    <t>Blind and Visually Impaired, School for the</t>
  </si>
  <si>
    <t>Lamar Institute of Technology</t>
  </si>
  <si>
    <t>Atascosa</t>
  </si>
  <si>
    <t>Kendall</t>
  </si>
  <si>
    <t>C007</t>
  </si>
  <si>
    <t>C130</t>
  </si>
  <si>
    <t>A542</t>
  </si>
  <si>
    <t>Previous FY Collected Shortage (Overage)</t>
  </si>
  <si>
    <t>Payroll *</t>
  </si>
  <si>
    <t>A608</t>
  </si>
  <si>
    <t>Department of Motor Vehicles</t>
  </si>
  <si>
    <t>Windham School District</t>
  </si>
  <si>
    <t>WSD</t>
  </si>
  <si>
    <t>Texas Senate</t>
  </si>
  <si>
    <t>Texas House of Representatives</t>
  </si>
  <si>
    <t>Court of Civil Appeals - First District</t>
  </si>
  <si>
    <t>Court of Civil Appeals - Second District</t>
  </si>
  <si>
    <t>Court of Civil Appeals - Third District</t>
  </si>
  <si>
    <t>Court of Civil Appeals - Fourth District</t>
  </si>
  <si>
    <t>Court of Civil Appeals - Fifth District</t>
  </si>
  <si>
    <t>Court of Civil Appeals - Sixth District</t>
  </si>
  <si>
    <t>Court of Civil Appeals - Seventh District</t>
  </si>
  <si>
    <t>Court of Civil Appeals - Eighth District</t>
  </si>
  <si>
    <t>Court of Civil Appeals - Ninth District</t>
  </si>
  <si>
    <t>Court of Civil Appeals - Tenth District</t>
  </si>
  <si>
    <t>Court of Civil Appeals - Eleventh District</t>
  </si>
  <si>
    <t>Court of Civil Appeals - Twelfth District</t>
  </si>
  <si>
    <t>Court of Civil Appeals - Thirteenth District</t>
  </si>
  <si>
    <t>Court of Civil Appeals - Fourteenth District</t>
  </si>
  <si>
    <t>District Courts (Comptroller's Jud. Section)</t>
  </si>
  <si>
    <t>Securities Board</t>
  </si>
  <si>
    <t>Texas Workforce Commission</t>
  </si>
  <si>
    <t>Railroad Commission</t>
  </si>
  <si>
    <t>Texas Board of Geoscientist</t>
  </si>
  <si>
    <t>Texas Board of Nursing</t>
  </si>
  <si>
    <t>Soil &amp; Water Conservation Board</t>
  </si>
  <si>
    <t>Texas Tech University Health Sciences Center</t>
  </si>
  <si>
    <t>Texas State University System Administration</t>
  </si>
  <si>
    <t>University of Houston System Administration</t>
  </si>
  <si>
    <t>Lamar State College - Orange</t>
  </si>
  <si>
    <t>Lamar State College - Port Arthur</t>
  </si>
  <si>
    <t>Parks and Wildlife Department</t>
  </si>
  <si>
    <t>=</t>
  </si>
  <si>
    <t>-</t>
  </si>
  <si>
    <t>Cancer Prevention and Research Institute</t>
  </si>
  <si>
    <t>A215</t>
  </si>
  <si>
    <t>Risk Management and Workers' Comp. Administration(incl.required funding for emp.benefits)</t>
  </si>
  <si>
    <t>A773</t>
  </si>
  <si>
    <t>University of North Texas Dallas</t>
  </si>
  <si>
    <t>A644</t>
  </si>
  <si>
    <t>Texas Juvenile Justice Department</t>
  </si>
  <si>
    <t>A326</t>
  </si>
  <si>
    <t>Texas Emergency Services Retirement System</t>
  </si>
  <si>
    <t>Law Enforcement Commission</t>
  </si>
  <si>
    <t>Texas State University</t>
  </si>
  <si>
    <t>Texas Military Department</t>
  </si>
  <si>
    <t>Invoiced</t>
  </si>
  <si>
    <t>Risk Management and Workers' Comp. Administration</t>
  </si>
  <si>
    <t>Texas Commission on Law Enforcement</t>
  </si>
  <si>
    <t>Texas Tech University Health Sciences Center at El Paso</t>
  </si>
  <si>
    <t>C194</t>
  </si>
  <si>
    <t>Red River</t>
  </si>
  <si>
    <t>C249</t>
  </si>
  <si>
    <t>Wise</t>
  </si>
  <si>
    <t>A774</t>
  </si>
  <si>
    <t>Previous</t>
  </si>
  <si>
    <t xml:space="preserve">Payment </t>
  </si>
  <si>
    <t>Initial</t>
  </si>
  <si>
    <t>Office of Capital and Forensic Writs</t>
  </si>
  <si>
    <t>Professional Engineers and Land Surveyors, Texas Board of</t>
  </si>
  <si>
    <t>A510</t>
  </si>
  <si>
    <t>Texas Behavioral Health Executive Council</t>
  </si>
  <si>
    <t>Atascosa - Previously Karnes C128</t>
  </si>
  <si>
    <t>Jasper - Formerly Shelby</t>
  </si>
  <si>
    <t>Liberty - Merged with Chambers</t>
  </si>
  <si>
    <t>Governor's Office &amp; Office of the Governor, Trustee Program</t>
  </si>
  <si>
    <t>FY2022</t>
  </si>
  <si>
    <t>2022 Avg.</t>
  </si>
  <si>
    <t>A706</t>
  </si>
  <si>
    <t>Texas Permanent School Fund Corporation</t>
  </si>
  <si>
    <t>A909</t>
  </si>
  <si>
    <t>A930</t>
  </si>
  <si>
    <t>Comptroller - Texas Broadband Development Office</t>
  </si>
  <si>
    <t>Texas Treasury Safekeeping Trust Company</t>
  </si>
  <si>
    <t>C036</t>
  </si>
  <si>
    <t>Chambers</t>
  </si>
  <si>
    <t>License</t>
  </si>
  <si>
    <t>Paid</t>
  </si>
  <si>
    <t>Fees</t>
  </si>
  <si>
    <t>Total Previous</t>
  </si>
  <si>
    <t xml:space="preserve">Additional </t>
  </si>
  <si>
    <t xml:space="preserve">License's </t>
  </si>
  <si>
    <t>Requested</t>
  </si>
  <si>
    <t>Fee</t>
  </si>
  <si>
    <t>Subtotal</t>
  </si>
  <si>
    <t>Invoice</t>
  </si>
  <si>
    <t>Amount Due</t>
  </si>
  <si>
    <t>Jasper - Merged with Shelby</t>
  </si>
  <si>
    <t>FY2023</t>
  </si>
  <si>
    <t>2023 Avg.</t>
  </si>
  <si>
    <t>A235</t>
  </si>
  <si>
    <t>Court of Civil Appeals - Fifteenth District</t>
  </si>
  <si>
    <t>C155</t>
  </si>
  <si>
    <t xml:space="preserve">McLennan </t>
  </si>
  <si>
    <t>Projected Current FY (2026) Claim Payments</t>
  </si>
  <si>
    <t>FY 2026</t>
  </si>
  <si>
    <t>FY2024</t>
  </si>
  <si>
    <t>2024 Avg.</t>
  </si>
  <si>
    <t>C009</t>
  </si>
  <si>
    <t>Bailey - Merged with Parmer</t>
  </si>
  <si>
    <t>Bailey</t>
  </si>
  <si>
    <t>Jasper - Formerly Shelby and Tyler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</si>
</sst>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_(* #,##0.0000_);_(* \(#,##0.0000\);_(* &quot;-&quot;??_);_(@_)"/>
    <numFmt numFmtId="167" formatCode="#,##0.00;[Red]#,##0.00"/>
    <numFmt numFmtId="168" formatCode="#,##0.000;[Red]#,##0.000"/>
    <numFmt numFmtId="169" formatCode="&quot;$&quot;#,##0.00"/>
    <numFmt numFmtId="170" formatCode="0.00_);[Red]\(0.00\)"/>
    <numFmt numFmtId="171" formatCode="#,##0.0_);\(#,##0.0\)"/>
    <numFmt numFmtId="172" formatCode="0.0"/>
  </numFmts>
  <fonts count="37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Courier"/>
      <family val="3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 Unicode MS"/>
      <family val="2"/>
    </font>
    <font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u/>
      <sz val="10"/>
      <name val="MS Sans Serif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3" applyNumberFormat="0" applyAlignment="0" applyProtection="0"/>
    <xf numFmtId="0" fontId="14" fillId="21" borderId="4" applyNumberFormat="0" applyAlignment="0" applyProtection="0"/>
    <xf numFmtId="43" fontId="2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15" fillId="0" borderId="0"/>
    <xf numFmtId="0" fontId="9" fillId="0" borderId="0"/>
    <xf numFmtId="0" fontId="24" fillId="0" borderId="0"/>
    <xf numFmtId="0" fontId="2" fillId="0" borderId="0"/>
    <xf numFmtId="0" fontId="2" fillId="23" borderId="9" applyNumberFormat="0" applyFont="0" applyAlignment="0" applyProtection="0"/>
    <xf numFmtId="0" fontId="25" fillId="20" borderId="10" applyNumberFormat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/>
    <xf numFmtId="0" fontId="15" fillId="0" borderId="0"/>
    <xf numFmtId="0" fontId="2" fillId="0" borderId="0"/>
    <xf numFmtId="43" fontId="31" fillId="0" borderId="0" applyFont="0" applyFill="0" applyBorder="0" applyAlignment="0" applyProtection="0"/>
    <xf numFmtId="0" fontId="30" fillId="0" borderId="0"/>
    <xf numFmtId="0" fontId="33" fillId="0" borderId="0">
      <alignment wrapText="1"/>
    </xf>
    <xf numFmtId="0" fontId="3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wrapText="1"/>
    </xf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>
      <alignment wrapText="1"/>
    </xf>
  </cellStyleXfs>
  <cellXfs count="94">
    <xf numFmtId="0" fontId="0" fillId="0" borderId="0" xfId="0"/>
    <xf numFmtId="0" fontId="0" fillId="0" borderId="0" xfId="0" applyFill="1"/>
    <xf numFmtId="39" fontId="0" fillId="0" borderId="0" xfId="0" applyNumberFormat="1" applyFill="1"/>
    <xf numFmtId="40" fontId="2" fillId="0" borderId="0" xfId="0" applyNumberFormat="1" applyFont="1" applyFill="1" applyBorder="1"/>
    <xf numFmtId="40" fontId="0" fillId="0" borderId="0" xfId="0" applyNumberFormat="1" applyFill="1"/>
    <xf numFmtId="39" fontId="2" fillId="0" borderId="0" xfId="0" applyNumberFormat="1" applyFont="1" applyFill="1"/>
    <xf numFmtId="168" fontId="2" fillId="0" borderId="0" xfId="2" applyNumberFormat="1" applyFill="1"/>
    <xf numFmtId="10" fontId="2" fillId="0" borderId="0" xfId="2" applyNumberFormat="1" applyFill="1"/>
    <xf numFmtId="166" fontId="2" fillId="0" borderId="0" xfId="1" applyNumberFormat="1" applyFill="1"/>
    <xf numFmtId="164" fontId="2" fillId="0" borderId="0" xfId="2" applyNumberFormat="1" applyFill="1"/>
    <xf numFmtId="4" fontId="0" fillId="0" borderId="0" xfId="0" applyNumberForma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" fontId="0" fillId="0" borderId="2" xfId="0" applyNumberFormat="1" applyFill="1" applyBorder="1"/>
    <xf numFmtId="39" fontId="0" fillId="0" borderId="2" xfId="0" applyNumberFormat="1" applyFill="1" applyBorder="1"/>
    <xf numFmtId="0" fontId="0" fillId="0" borderId="0" xfId="0" applyFill="1" applyAlignment="1">
      <alignment horizontal="right"/>
    </xf>
    <xf numFmtId="170" fontId="0" fillId="0" borderId="0" xfId="0" applyNumberFormat="1" applyFill="1"/>
    <xf numFmtId="169" fontId="0" fillId="0" borderId="0" xfId="0" applyNumberFormat="1" applyFill="1"/>
    <xf numFmtId="0" fontId="3" fillId="0" borderId="0" xfId="0" applyFont="1" applyFill="1" applyAlignment="1">
      <alignment horizontal="centerContinuous"/>
    </xf>
    <xf numFmtId="9" fontId="4" fillId="0" borderId="0" xfId="2" applyFont="1" applyFill="1" applyAlignment="1">
      <alignment horizontal="center"/>
    </xf>
    <xf numFmtId="165" fontId="0" fillId="0" borderId="0" xfId="0" applyNumberFormat="1" applyFill="1"/>
    <xf numFmtId="39" fontId="8" fillId="0" borderId="0" xfId="0" applyNumberFormat="1" applyFont="1" applyFill="1"/>
    <xf numFmtId="0" fontId="0" fillId="0" borderId="1" xfId="0" applyFill="1" applyBorder="1"/>
    <xf numFmtId="39" fontId="0" fillId="0" borderId="1" xfId="0" applyNumberFormat="1" applyFill="1" applyBorder="1"/>
    <xf numFmtId="164" fontId="0" fillId="0" borderId="0" xfId="0" applyNumberFormat="1" applyFill="1"/>
    <xf numFmtId="170" fontId="4" fillId="0" borderId="0" xfId="0" applyNumberFormat="1" applyFont="1" applyFill="1" applyAlignment="1">
      <alignment horizontal="center"/>
    </xf>
    <xf numFmtId="4" fontId="2" fillId="0" borderId="0" xfId="0" applyNumberFormat="1" applyFont="1" applyFill="1"/>
    <xf numFmtId="164" fontId="2" fillId="0" borderId="0" xfId="2" applyNumberFormat="1" applyFont="1" applyFill="1"/>
    <xf numFmtId="0" fontId="1" fillId="0" borderId="0" xfId="0" applyFont="1" applyFill="1"/>
    <xf numFmtId="164" fontId="7" fillId="0" borderId="0" xfId="2" applyNumberFormat="1" applyFont="1" applyFill="1"/>
    <xf numFmtId="170" fontId="2" fillId="0" borderId="0" xfId="0" applyNumberFormat="1" applyFont="1" applyFill="1"/>
    <xf numFmtId="170" fontId="2" fillId="0" borderId="1" xfId="0" applyNumberFormat="1" applyFont="1" applyFill="1" applyBorder="1"/>
    <xf numFmtId="0" fontId="3" fillId="0" borderId="0" xfId="0" applyFont="1" applyFill="1" applyAlignment="1">
      <alignment horizontal="right"/>
    </xf>
    <xf numFmtId="10" fontId="7" fillId="0" borderId="0" xfId="2" applyNumberFormat="1" applyFont="1" applyFill="1"/>
    <xf numFmtId="0" fontId="6" fillId="0" borderId="0" xfId="0" applyFont="1" applyFill="1" applyAlignment="1">
      <alignment horizontal="right" vertical="center"/>
    </xf>
    <xf numFmtId="2" fontId="0" fillId="0" borderId="0" xfId="2" applyNumberFormat="1" applyFont="1" applyFill="1"/>
    <xf numFmtId="39" fontId="2" fillId="0" borderId="0" xfId="0" applyNumberFormat="1" applyFont="1" applyFill="1" applyBorder="1"/>
    <xf numFmtId="39" fontId="0" fillId="0" borderId="12" xfId="0" applyNumberFormat="1" applyFill="1" applyBorder="1"/>
    <xf numFmtId="164" fontId="2" fillId="0" borderId="2" xfId="2" applyNumberFormat="1" applyFill="1" applyBorder="1"/>
    <xf numFmtId="37" fontId="0" fillId="0" borderId="0" xfId="1" applyNumberFormat="1" applyFont="1" applyFill="1"/>
    <xf numFmtId="10" fontId="2" fillId="0" borderId="0" xfId="2" applyNumberFormat="1" applyFont="1" applyFill="1"/>
    <xf numFmtId="168" fontId="2" fillId="0" borderId="1" xfId="2" applyNumberFormat="1" applyFill="1" applyBorder="1"/>
    <xf numFmtId="167" fontId="0" fillId="0" borderId="2" xfId="0" applyNumberFormat="1" applyFill="1" applyBorder="1"/>
    <xf numFmtId="10" fontId="0" fillId="0" borderId="0" xfId="0" applyNumberFormat="1" applyFill="1" applyBorder="1"/>
    <xf numFmtId="0" fontId="0" fillId="0" borderId="0" xfId="0" quotePrefix="1" applyFill="1" applyAlignment="1">
      <alignment horizontal="center"/>
    </xf>
    <xf numFmtId="164" fontId="0" fillId="0" borderId="2" xfId="0" applyNumberFormat="1" applyFill="1" applyBorder="1"/>
    <xf numFmtId="0" fontId="3" fillId="0" borderId="0" xfId="0" applyFont="1" applyFill="1" applyAlignment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39" fontId="0" fillId="0" borderId="0" xfId="0" applyNumberFormat="1" applyFill="1" applyAlignment="1">
      <alignment horizontal="center"/>
    </xf>
    <xf numFmtId="4" fontId="0" fillId="0" borderId="0" xfId="0" applyNumberFormat="1" applyFill="1" applyAlignment="1">
      <alignment horizontal="center"/>
    </xf>
    <xf numFmtId="39" fontId="3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0" xfId="0" applyFill="1" applyBorder="1"/>
    <xf numFmtId="10" fontId="0" fillId="0" borderId="0" xfId="0" applyNumberFormat="1" applyFill="1"/>
    <xf numFmtId="2" fontId="0" fillId="0" borderId="0" xfId="0" applyNumberFormat="1" applyFill="1"/>
    <xf numFmtId="37" fontId="0" fillId="0" borderId="0" xfId="0" applyNumberFormat="1" applyFill="1"/>
    <xf numFmtId="39" fontId="2" fillId="0" borderId="17" xfId="0" applyNumberFormat="1" applyFont="1" applyFill="1" applyBorder="1"/>
    <xf numFmtId="10" fontId="2" fillId="0" borderId="17" xfId="2" applyNumberFormat="1" applyFont="1" applyFill="1" applyBorder="1"/>
    <xf numFmtId="39" fontId="0" fillId="0" borderId="0" xfId="0" applyNumberFormat="1" applyFill="1" applyBorder="1"/>
    <xf numFmtId="37" fontId="2" fillId="0" borderId="17" xfId="1" applyNumberFormat="1" applyFont="1" applyFill="1" applyBorder="1"/>
    <xf numFmtId="37" fontId="0" fillId="0" borderId="0" xfId="1" applyNumberFormat="1" applyFont="1" applyFill="1" applyBorder="1"/>
    <xf numFmtId="37" fontId="2" fillId="0" borderId="16" xfId="1" applyNumberFormat="1" applyFont="1" applyFill="1" applyBorder="1"/>
    <xf numFmtId="171" fontId="0" fillId="0" borderId="0" xfId="0" applyNumberFormat="1" applyFill="1" applyAlignment="1">
      <alignment horizontal="center"/>
    </xf>
    <xf numFmtId="172" fontId="0" fillId="0" borderId="0" xfId="0" applyNumberFormat="1" applyFill="1" applyAlignment="1">
      <alignment horizontal="center"/>
    </xf>
    <xf numFmtId="170" fontId="8" fillId="0" borderId="0" xfId="0" applyNumberFormat="1" applyFont="1" applyFill="1"/>
    <xf numFmtId="40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39" fontId="2" fillId="0" borderId="1" xfId="0" applyNumberFormat="1" applyFont="1" applyFill="1" applyBorder="1"/>
    <xf numFmtId="164" fontId="2" fillId="0" borderId="0" xfId="0" applyNumberFormat="1" applyFont="1" applyFill="1"/>
    <xf numFmtId="39" fontId="2" fillId="0" borderId="2" xfId="0" applyNumberFormat="1" applyFont="1" applyFill="1" applyBorder="1"/>
    <xf numFmtId="40" fontId="0" fillId="0" borderId="2" xfId="0" applyNumberFormat="1" applyFill="1" applyBorder="1"/>
    <xf numFmtId="165" fontId="2" fillId="0" borderId="0" xfId="2" applyNumberFormat="1" applyFont="1" applyFill="1"/>
    <xf numFmtId="4" fontId="2" fillId="0" borderId="0" xfId="0" applyNumberFormat="1" applyFont="1" applyFill="1" applyAlignment="1">
      <alignment wrapText="1"/>
    </xf>
    <xf numFmtId="4" fontId="2" fillId="0" borderId="1" xfId="0" applyNumberFormat="1" applyFont="1" applyFill="1" applyBorder="1"/>
    <xf numFmtId="0" fontId="8" fillId="0" borderId="0" xfId="0" applyFont="1" applyFill="1"/>
    <xf numFmtId="0" fontId="4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36" fillId="0" borderId="0" xfId="0" applyFont="1" applyFill="1" applyAlignment="1">
      <alignment horizontal="center"/>
    </xf>
    <xf numFmtId="4" fontId="2" fillId="0" borderId="13" xfId="0" applyNumberFormat="1" applyFont="1" applyFill="1" applyBorder="1"/>
    <xf numFmtId="4" fontId="2" fillId="0" borderId="14" xfId="0" applyNumberFormat="1" applyFont="1" applyFill="1" applyBorder="1"/>
    <xf numFmtId="4" fontId="2" fillId="0" borderId="15" xfId="0" applyNumberFormat="1" applyFont="1" applyFill="1" applyBorder="1"/>
    <xf numFmtId="39" fontId="8" fillId="0" borderId="1" xfId="0" applyNumberFormat="1" applyFont="1" applyFill="1" applyBorder="1"/>
    <xf numFmtId="39" fontId="2" fillId="0" borderId="16" xfId="0" applyNumberFormat="1" applyFont="1" applyFill="1" applyBorder="1"/>
    <xf numFmtId="10" fontId="3" fillId="0" borderId="0" xfId="2" applyNumberFormat="1" applyFont="1" applyFill="1" applyAlignment="1">
      <alignment horizontal="center"/>
    </xf>
    <xf numFmtId="37" fontId="2" fillId="0" borderId="0" xfId="1" applyNumberFormat="1" applyFont="1" applyFill="1"/>
    <xf numFmtId="37" fontId="2" fillId="0" borderId="1" xfId="1" applyNumberFormat="1" applyFont="1" applyFill="1" applyBorder="1"/>
    <xf numFmtId="10" fontId="2" fillId="0" borderId="0" xfId="0" applyNumberFormat="1" applyFont="1" applyFill="1"/>
    <xf numFmtId="37" fontId="2" fillId="0" borderId="0" xfId="0" applyNumberFormat="1" applyFont="1" applyFill="1"/>
    <xf numFmtId="0" fontId="2" fillId="0" borderId="0" xfId="0" applyFont="1" applyFill="1" applyBorder="1"/>
    <xf numFmtId="43" fontId="2" fillId="0" borderId="0" xfId="1" applyFont="1" applyFill="1" applyBorder="1"/>
  </cellXfs>
  <cellStyles count="77">
    <cellStyle name="20% - Accent1 2" xfId="4" xr:uid="{00000000-0005-0000-0000-000000000000}"/>
    <cellStyle name="20% - Accent2 2" xfId="5" xr:uid="{00000000-0005-0000-0000-000001000000}"/>
    <cellStyle name="20% - Accent3 2" xfId="6" xr:uid="{00000000-0005-0000-0000-000002000000}"/>
    <cellStyle name="20% - Accent4 2" xfId="7" xr:uid="{00000000-0005-0000-0000-000003000000}"/>
    <cellStyle name="20% - Accent5 2" xfId="8" xr:uid="{00000000-0005-0000-0000-000004000000}"/>
    <cellStyle name="20% - Accent6 2" xfId="9" xr:uid="{00000000-0005-0000-0000-000005000000}"/>
    <cellStyle name="40% - Accent1 2" xfId="10" xr:uid="{00000000-0005-0000-0000-000006000000}"/>
    <cellStyle name="40% - Accent2 2" xfId="11" xr:uid="{00000000-0005-0000-0000-000007000000}"/>
    <cellStyle name="40% - Accent3 2" xfId="12" xr:uid="{00000000-0005-0000-0000-000008000000}"/>
    <cellStyle name="40% - Accent4 2" xfId="13" xr:uid="{00000000-0005-0000-0000-000009000000}"/>
    <cellStyle name="40% - Accent5 2" xfId="14" xr:uid="{00000000-0005-0000-0000-00000A000000}"/>
    <cellStyle name="40% - Accent6 2" xfId="15" xr:uid="{00000000-0005-0000-0000-00000B000000}"/>
    <cellStyle name="60% - Accent1 2" xfId="16" xr:uid="{00000000-0005-0000-0000-00000C000000}"/>
    <cellStyle name="60% - Accent2 2" xfId="17" xr:uid="{00000000-0005-0000-0000-00000D000000}"/>
    <cellStyle name="60% - Accent3 2" xfId="18" xr:uid="{00000000-0005-0000-0000-00000E000000}"/>
    <cellStyle name="60% - Accent4 2" xfId="19" xr:uid="{00000000-0005-0000-0000-00000F000000}"/>
    <cellStyle name="60% - Accent5 2" xfId="20" xr:uid="{00000000-0005-0000-0000-000010000000}"/>
    <cellStyle name="60% - Accent6 2" xfId="21" xr:uid="{00000000-0005-0000-0000-000011000000}"/>
    <cellStyle name="Accent1 2" xfId="22" xr:uid="{00000000-0005-0000-0000-000012000000}"/>
    <cellStyle name="Accent2 2" xfId="23" xr:uid="{00000000-0005-0000-0000-000013000000}"/>
    <cellStyle name="Accent3 2" xfId="24" xr:uid="{00000000-0005-0000-0000-000014000000}"/>
    <cellStyle name="Accent4 2" xfId="25" xr:uid="{00000000-0005-0000-0000-000015000000}"/>
    <cellStyle name="Accent5 2" xfId="26" xr:uid="{00000000-0005-0000-0000-000016000000}"/>
    <cellStyle name="Accent6 2" xfId="27" xr:uid="{00000000-0005-0000-0000-000017000000}"/>
    <cellStyle name="Bad 2" xfId="28" xr:uid="{00000000-0005-0000-0000-000018000000}"/>
    <cellStyle name="Calculation 2" xfId="29" xr:uid="{00000000-0005-0000-0000-000019000000}"/>
    <cellStyle name="Check Cell 2" xfId="30" xr:uid="{00000000-0005-0000-0000-00001A000000}"/>
    <cellStyle name="Comma" xfId="1" builtinId="3"/>
    <cellStyle name="Comma 2" xfId="31" xr:uid="{00000000-0005-0000-0000-00001C000000}"/>
    <cellStyle name="Comma 2 2" xfId="54" xr:uid="{00000000-0005-0000-0000-00001D000000}"/>
    <cellStyle name="Comma 3" xfId="65" xr:uid="{00000000-0005-0000-0000-00001E000000}"/>
    <cellStyle name="Comma 4" xfId="69" xr:uid="{00000000-0005-0000-0000-00001F000000}"/>
    <cellStyle name="Comma 5" xfId="74" xr:uid="{00000000-0005-0000-0000-000020000000}"/>
    <cellStyle name="Currency 2" xfId="32" xr:uid="{00000000-0005-0000-0000-000021000000}"/>
    <cellStyle name="Currency 2 2" xfId="55" xr:uid="{00000000-0005-0000-0000-000022000000}"/>
    <cellStyle name="Currency 3" xfId="33" xr:uid="{00000000-0005-0000-0000-000023000000}"/>
    <cellStyle name="Currency 3 2" xfId="56" xr:uid="{00000000-0005-0000-0000-000024000000}"/>
    <cellStyle name="Explanatory Text 2" xfId="34" xr:uid="{00000000-0005-0000-0000-000025000000}"/>
    <cellStyle name="Good 2" xfId="35" xr:uid="{00000000-0005-0000-0000-000026000000}"/>
    <cellStyle name="Heading 1 2" xfId="36" xr:uid="{00000000-0005-0000-0000-000027000000}"/>
    <cellStyle name="Heading 2 2" xfId="37" xr:uid="{00000000-0005-0000-0000-000028000000}"/>
    <cellStyle name="Heading 3 2" xfId="38" xr:uid="{00000000-0005-0000-0000-000029000000}"/>
    <cellStyle name="Heading 4 2" xfId="39" xr:uid="{00000000-0005-0000-0000-00002A000000}"/>
    <cellStyle name="Input 2" xfId="40" xr:uid="{00000000-0005-0000-0000-00002B000000}"/>
    <cellStyle name="Linked Cell 2" xfId="41" xr:uid="{00000000-0005-0000-0000-00002C000000}"/>
    <cellStyle name="Neutral 2" xfId="42" xr:uid="{00000000-0005-0000-0000-00002D000000}"/>
    <cellStyle name="Normal" xfId="0" builtinId="0"/>
    <cellStyle name="Normal 10" xfId="67" xr:uid="{00000000-0005-0000-0000-00002F000000}"/>
    <cellStyle name="Normal 10 2" xfId="76" xr:uid="{00000000-0005-0000-0000-000030000000}"/>
    <cellStyle name="Normal 11" xfId="71" xr:uid="{00000000-0005-0000-0000-000031000000}"/>
    <cellStyle name="Normal 12" xfId="73" xr:uid="{00000000-0005-0000-0000-000032000000}"/>
    <cellStyle name="Normal 2" xfId="43" xr:uid="{00000000-0005-0000-0000-000033000000}"/>
    <cellStyle name="Normal 2 2" xfId="57" xr:uid="{00000000-0005-0000-0000-000034000000}"/>
    <cellStyle name="Normal 3" xfId="44" xr:uid="{00000000-0005-0000-0000-000035000000}"/>
    <cellStyle name="Normal 3 2" xfId="58" xr:uid="{00000000-0005-0000-0000-000036000000}"/>
    <cellStyle name="Normal 3 2 2" xfId="62" xr:uid="{00000000-0005-0000-0000-000037000000}"/>
    <cellStyle name="Normal 3 3" xfId="66" xr:uid="{00000000-0005-0000-0000-000038000000}"/>
    <cellStyle name="Normal 4" xfId="45" xr:uid="{00000000-0005-0000-0000-000039000000}"/>
    <cellStyle name="Normal 4 2" xfId="63" xr:uid="{00000000-0005-0000-0000-00003A000000}"/>
    <cellStyle name="Normal 4 3" xfId="64" xr:uid="{00000000-0005-0000-0000-00003B000000}"/>
    <cellStyle name="Normal 5" xfId="46" xr:uid="{00000000-0005-0000-0000-00003C000000}"/>
    <cellStyle name="Normal 5 2" xfId="59" xr:uid="{00000000-0005-0000-0000-00003D000000}"/>
    <cellStyle name="Normal 6" xfId="53" xr:uid="{00000000-0005-0000-0000-00003E000000}"/>
    <cellStyle name="Normal 7" xfId="61" xr:uid="{00000000-0005-0000-0000-00003F000000}"/>
    <cellStyle name="Normal 8" xfId="3" xr:uid="{00000000-0005-0000-0000-000040000000}"/>
    <cellStyle name="Normal 9" xfId="68" xr:uid="{00000000-0005-0000-0000-000041000000}"/>
    <cellStyle name="Normal 9 2" xfId="72" xr:uid="{00000000-0005-0000-0000-000042000000}"/>
    <cellStyle name="Note 2" xfId="47" xr:uid="{00000000-0005-0000-0000-000043000000}"/>
    <cellStyle name="Output 2" xfId="48" xr:uid="{00000000-0005-0000-0000-000044000000}"/>
    <cellStyle name="Percent" xfId="2" builtinId="5"/>
    <cellStyle name="Percent 2" xfId="49" xr:uid="{00000000-0005-0000-0000-000046000000}"/>
    <cellStyle name="Percent 2 2" xfId="60" xr:uid="{00000000-0005-0000-0000-000047000000}"/>
    <cellStyle name="Percent 3" xfId="70" xr:uid="{00000000-0005-0000-0000-000048000000}"/>
    <cellStyle name="Percent 4" xfId="75" xr:uid="{00000000-0005-0000-0000-000049000000}"/>
    <cellStyle name="Title 2" xfId="50" xr:uid="{00000000-0005-0000-0000-00004A000000}"/>
    <cellStyle name="Total 2" xfId="51" xr:uid="{00000000-0005-0000-0000-00004B000000}"/>
    <cellStyle name="Warning Text 2" xfId="52" xr:uid="{00000000-0005-0000-0000-00004C000000}"/>
  </cellStyles>
  <dxfs count="0"/>
  <tableStyles count="0" defaultTableStyle="TableStyleMedium9" defaultPivotStyle="PivotStyleLight16"/>
  <colors>
    <mruColors>
      <color rgb="FFCC9900"/>
      <color rgb="FF78FAA0"/>
      <color rgb="FFFF9999"/>
      <color rgb="FFFF66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Common\Accounting%20Data%20by%20FY\FY%202026\Assessments\Initial%20Assessment%20Project\FY26%20assessment%20inital.xlsx" TargetMode="External"/><Relationship Id="rId1" Type="http://schemas.openxmlformats.org/officeDocument/2006/relationships/externalLinkPath" Target="file:///G:\Common\Accounting%20Data%20by%20FY\FY%202026\Assessments\Initial%20Assessment%20Project\FY26%20assessment%20init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ACCOUNTING\Common\Accounting%20Data%20by%20FY\FY%202022\Assessment%20FY22\FY22%20Initial%20Invoices\FY22%20assessments%20init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voices"/>
      <sheetName val="assessment"/>
      <sheetName val="payroll"/>
      <sheetName val="IFR"/>
      <sheetName val="claims"/>
      <sheetName val="costs"/>
    </sheetNames>
    <sheetDataSet>
      <sheetData sheetId="0"/>
      <sheetData sheetId="1">
        <row r="3">
          <cell r="E3">
            <v>0.15</v>
          </cell>
          <cell r="F3">
            <v>0.6</v>
          </cell>
        </row>
        <row r="272">
          <cell r="J272">
            <v>60027392</v>
          </cell>
        </row>
      </sheetData>
      <sheetData sheetId="2">
        <row r="5">
          <cell r="F5">
            <v>36818571.466666669</v>
          </cell>
        </row>
        <row r="6">
          <cell r="F6">
            <v>39932125.666666664</v>
          </cell>
        </row>
        <row r="7">
          <cell r="F7">
            <v>31865280.745000005</v>
          </cell>
        </row>
        <row r="8">
          <cell r="F8">
            <v>14210811.796666667</v>
          </cell>
        </row>
        <row r="9">
          <cell r="F9">
            <v>1427359.6433333333</v>
          </cell>
        </row>
        <row r="10">
          <cell r="F10">
            <v>2428491.7650000001</v>
          </cell>
        </row>
        <row r="11">
          <cell r="F11">
            <v>7549815.166666667</v>
          </cell>
        </row>
        <row r="12">
          <cell r="F12">
            <v>1908738.93</v>
          </cell>
        </row>
        <row r="13">
          <cell r="F13">
            <v>7389296.9649999999</v>
          </cell>
        </row>
        <row r="14">
          <cell r="F14">
            <v>23846367.243333336</v>
          </cell>
        </row>
        <row r="15">
          <cell r="F15">
            <v>441994.9266666667</v>
          </cell>
        </row>
        <row r="16">
          <cell r="F16">
            <v>2166817.3516666666</v>
          </cell>
        </row>
        <row r="17">
          <cell r="F17">
            <v>4600426.2149999999</v>
          </cell>
        </row>
        <row r="18">
          <cell r="F18">
            <v>3973283.1</v>
          </cell>
        </row>
        <row r="19">
          <cell r="F19">
            <v>3434530.5866666664</v>
          </cell>
        </row>
        <row r="20">
          <cell r="F20">
            <v>3968431.1549999998</v>
          </cell>
        </row>
        <row r="21">
          <cell r="F21">
            <v>6689222.3583333334</v>
          </cell>
        </row>
        <row r="22">
          <cell r="F22">
            <v>1694346.5</v>
          </cell>
        </row>
        <row r="23">
          <cell r="F23">
            <v>1905454.0616666668</v>
          </cell>
        </row>
        <row r="24">
          <cell r="F24">
            <v>1704036.6666666667</v>
          </cell>
        </row>
        <row r="25">
          <cell r="F25">
            <v>1916280.8616666666</v>
          </cell>
        </row>
        <row r="26">
          <cell r="F26">
            <v>1695468.2333333334</v>
          </cell>
        </row>
        <row r="27">
          <cell r="F27">
            <v>1706910.3333333333</v>
          </cell>
        </row>
        <row r="28">
          <cell r="F28">
            <v>1685499.6466666665</v>
          </cell>
        </row>
        <row r="29">
          <cell r="F29">
            <v>3391834.4133333336</v>
          </cell>
        </row>
        <row r="30">
          <cell r="F30">
            <v>5077958.6716666659</v>
          </cell>
        </row>
        <row r="31">
          <cell r="F31">
            <v>2207197</v>
          </cell>
        </row>
        <row r="32">
          <cell r="F32">
            <v>106474122.74333334</v>
          </cell>
        </row>
        <row r="33">
          <cell r="F33">
            <v>966701.09166666667</v>
          </cell>
        </row>
        <row r="34">
          <cell r="F34">
            <v>680819.22666666668</v>
          </cell>
        </row>
        <row r="35">
          <cell r="F35">
            <v>25264205.046666667</v>
          </cell>
        </row>
        <row r="36">
          <cell r="F36">
            <v>269129549.5</v>
          </cell>
        </row>
        <row r="37">
          <cell r="F37">
            <v>25820241.816666666</v>
          </cell>
        </row>
        <row r="38">
          <cell r="F38">
            <v>204661181.01666665</v>
          </cell>
        </row>
        <row r="39">
          <cell r="F39">
            <v>68847827.833333328</v>
          </cell>
        </row>
        <row r="40">
          <cell r="F40">
            <v>8961506.166666666</v>
          </cell>
        </row>
        <row r="41">
          <cell r="F41">
            <v>14511250.438333333</v>
          </cell>
        </row>
        <row r="42">
          <cell r="F42">
            <v>16926691.166666668</v>
          </cell>
        </row>
        <row r="43">
          <cell r="F43">
            <v>6576781.6499999994</v>
          </cell>
        </row>
        <row r="44">
          <cell r="F44">
            <v>22885479.758333337</v>
          </cell>
        </row>
        <row r="45">
          <cell r="F45">
            <v>258134592.33333334</v>
          </cell>
        </row>
        <row r="46">
          <cell r="F46">
            <v>523917.55499999999</v>
          </cell>
        </row>
        <row r="47">
          <cell r="F47">
            <v>11384880.673333332</v>
          </cell>
        </row>
        <row r="48">
          <cell r="F48">
            <v>29563437.411666665</v>
          </cell>
        </row>
        <row r="49">
          <cell r="F49">
            <v>1031747.8916666666</v>
          </cell>
        </row>
        <row r="50">
          <cell r="F50">
            <v>1501197.9966666668</v>
          </cell>
        </row>
        <row r="51">
          <cell r="F51">
            <v>811711.55999999994</v>
          </cell>
        </row>
        <row r="52">
          <cell r="F52">
            <v>2135180.3516666666</v>
          </cell>
        </row>
        <row r="53">
          <cell r="F53">
            <v>913686.79666666675</v>
          </cell>
        </row>
        <row r="54">
          <cell r="F54">
            <v>9449184.7050000001</v>
          </cell>
        </row>
        <row r="55">
          <cell r="F55">
            <v>623036.16666666663</v>
          </cell>
        </row>
        <row r="56">
          <cell r="F56">
            <v>512452258.00666666</v>
          </cell>
        </row>
        <row r="57">
          <cell r="F57">
            <v>24391246.890000001</v>
          </cell>
        </row>
        <row r="58">
          <cell r="F58">
            <v>711502628.33333337</v>
          </cell>
        </row>
        <row r="59">
          <cell r="F59">
            <v>4955571.5916666677</v>
          </cell>
        </row>
        <row r="60">
          <cell r="F60">
            <v>1572888</v>
          </cell>
        </row>
        <row r="61">
          <cell r="F61">
            <v>2253637.2433333332</v>
          </cell>
        </row>
        <row r="62">
          <cell r="F62">
            <v>7791793</v>
          </cell>
        </row>
        <row r="63">
          <cell r="F63">
            <v>5305998.6399999997</v>
          </cell>
        </row>
        <row r="64">
          <cell r="F64">
            <v>20095295.211666666</v>
          </cell>
        </row>
        <row r="65">
          <cell r="F65">
            <v>56611691.781666674</v>
          </cell>
        </row>
        <row r="66">
          <cell r="F66">
            <v>86363302.666666672</v>
          </cell>
        </row>
        <row r="67">
          <cell r="F67">
            <v>73012425.333333328</v>
          </cell>
        </row>
        <row r="68">
          <cell r="F68">
            <v>2089400.3333333333</v>
          </cell>
        </row>
        <row r="69">
          <cell r="F69">
            <v>3162155.8550000004</v>
          </cell>
        </row>
        <row r="70">
          <cell r="F70">
            <v>38261658.49666667</v>
          </cell>
        </row>
        <row r="71">
          <cell r="F71">
            <v>1833550.1466666665</v>
          </cell>
        </row>
        <row r="72">
          <cell r="F72">
            <v>2729567.7916666665</v>
          </cell>
        </row>
        <row r="73">
          <cell r="F73">
            <v>4908663.6783333337</v>
          </cell>
        </row>
        <row r="74">
          <cell r="F74">
            <v>2837082.3333333335</v>
          </cell>
        </row>
        <row r="75">
          <cell r="F75">
            <v>21049582.52</v>
          </cell>
        </row>
        <row r="76">
          <cell r="F76">
            <v>1223905.6483333334</v>
          </cell>
        </row>
        <row r="77">
          <cell r="F77">
            <v>2625904.3149999999</v>
          </cell>
        </row>
        <row r="78">
          <cell r="F78">
            <v>1770106.5683333334</v>
          </cell>
        </row>
        <row r="79">
          <cell r="F79">
            <v>7283615.833333333</v>
          </cell>
        </row>
        <row r="80">
          <cell r="F80">
            <v>386262.78666666668</v>
          </cell>
        </row>
        <row r="81">
          <cell r="F81">
            <v>13287274.729999999</v>
          </cell>
        </row>
        <row r="82">
          <cell r="F82">
            <v>2871762.1750000003</v>
          </cell>
        </row>
        <row r="83">
          <cell r="F83">
            <v>8188579</v>
          </cell>
        </row>
        <row r="84">
          <cell r="F84">
            <v>769801.81333333335</v>
          </cell>
        </row>
        <row r="85">
          <cell r="F85">
            <v>3208046.3566666669</v>
          </cell>
        </row>
        <row r="86">
          <cell r="F86">
            <v>698528.51333333331</v>
          </cell>
        </row>
        <row r="87">
          <cell r="F87">
            <v>348665.32666666666</v>
          </cell>
        </row>
        <row r="88">
          <cell r="F88">
            <v>6470886.1116666673</v>
          </cell>
        </row>
        <row r="89">
          <cell r="F89">
            <v>1943663279.4916668</v>
          </cell>
        </row>
        <row r="90">
          <cell r="F90">
            <v>661527683.22500002</v>
          </cell>
        </row>
        <row r="91">
          <cell r="F91">
            <v>1063692.5349999999</v>
          </cell>
        </row>
        <row r="92">
          <cell r="F92">
            <v>225794463.63000003</v>
          </cell>
        </row>
        <row r="93">
          <cell r="F93">
            <v>4886774.8783333329</v>
          </cell>
        </row>
        <row r="94">
          <cell r="F94">
            <v>41305271.796666667</v>
          </cell>
        </row>
        <row r="95">
          <cell r="F95">
            <v>10931874.310000001</v>
          </cell>
        </row>
        <row r="96">
          <cell r="F96">
            <v>1295723.7733333332</v>
          </cell>
        </row>
        <row r="97">
          <cell r="F97">
            <v>32794260.333333332</v>
          </cell>
        </row>
        <row r="98">
          <cell r="F98">
            <v>191017283.83333334</v>
          </cell>
        </row>
        <row r="99">
          <cell r="F99">
            <v>4803125.543333333</v>
          </cell>
        </row>
        <row r="100">
          <cell r="F100">
            <v>48212912.333333336</v>
          </cell>
        </row>
        <row r="101">
          <cell r="F101">
            <v>119719849.33333333</v>
          </cell>
        </row>
        <row r="102">
          <cell r="F102">
            <v>1496650617</v>
          </cell>
        </row>
        <row r="103">
          <cell r="F103">
            <v>56891974.666666664</v>
          </cell>
        </row>
        <row r="104">
          <cell r="F104">
            <v>108257551.33333333</v>
          </cell>
        </row>
        <row r="105">
          <cell r="F105">
            <v>13179370.668000001</v>
          </cell>
        </row>
        <row r="106">
          <cell r="F106">
            <v>87836013.314999998</v>
          </cell>
        </row>
        <row r="107">
          <cell r="F107">
            <v>113241049.26166666</v>
          </cell>
        </row>
        <row r="108">
          <cell r="F108">
            <v>591530732.38666666</v>
          </cell>
        </row>
        <row r="109">
          <cell r="F109">
            <v>130161740.02166666</v>
          </cell>
        </row>
        <row r="110">
          <cell r="F110">
            <v>516515770.16666669</v>
          </cell>
        </row>
        <row r="111">
          <cell r="F111">
            <v>94834591.666666672</v>
          </cell>
        </row>
        <row r="112">
          <cell r="F112">
            <v>43136351.811666667</v>
          </cell>
        </row>
        <row r="113">
          <cell r="F113">
            <v>57542486.773333333</v>
          </cell>
        </row>
        <row r="114">
          <cell r="F114">
            <v>416035823.10500002</v>
          </cell>
        </row>
        <row r="115">
          <cell r="F115">
            <v>386418837.2183333</v>
          </cell>
        </row>
        <row r="116">
          <cell r="F116">
            <v>196900199.62666667</v>
          </cell>
        </row>
        <row r="117">
          <cell r="F117">
            <v>341681899.93166667</v>
          </cell>
        </row>
        <row r="118">
          <cell r="F118">
            <v>22424188.280000001</v>
          </cell>
        </row>
        <row r="119">
          <cell r="F119">
            <v>8891583.4483333323</v>
          </cell>
        </row>
        <row r="120">
          <cell r="F120">
            <v>75759536.5</v>
          </cell>
        </row>
        <row r="121">
          <cell r="F121">
            <v>126130890.66666667</v>
          </cell>
        </row>
        <row r="122">
          <cell r="F122">
            <v>34376292.333333336</v>
          </cell>
        </row>
        <row r="123">
          <cell r="F123">
            <v>24678266.465000004</v>
          </cell>
        </row>
        <row r="124">
          <cell r="F124">
            <v>30164770.888333336</v>
          </cell>
        </row>
        <row r="125">
          <cell r="F125">
            <v>35536514.07</v>
          </cell>
        </row>
        <row r="126">
          <cell r="F126">
            <v>157950398.66666666</v>
          </cell>
        </row>
        <row r="127">
          <cell r="F127">
            <v>31039988.833333332</v>
          </cell>
        </row>
        <row r="128">
          <cell r="F128">
            <v>9000060.8466666657</v>
          </cell>
        </row>
        <row r="129">
          <cell r="F129">
            <v>91406066.166666672</v>
          </cell>
        </row>
        <row r="130">
          <cell r="F130">
            <v>10154224.743333334</v>
          </cell>
        </row>
        <row r="131">
          <cell r="F131">
            <v>10605656.938333334</v>
          </cell>
        </row>
        <row r="132">
          <cell r="F132">
            <v>13530906.333333334</v>
          </cell>
        </row>
        <row r="133">
          <cell r="F133">
            <v>196834343.66666666</v>
          </cell>
        </row>
        <row r="134">
          <cell r="F134">
            <v>19445057.129999999</v>
          </cell>
        </row>
        <row r="135">
          <cell r="F135">
            <v>13869072.33</v>
          </cell>
        </row>
        <row r="136">
          <cell r="F136">
            <v>996738.16</v>
          </cell>
        </row>
        <row r="137">
          <cell r="F137">
            <v>851204.19499999995</v>
          </cell>
        </row>
        <row r="138">
          <cell r="F138">
            <v>612677.91666666663</v>
          </cell>
        </row>
        <row r="139">
          <cell r="F139">
            <v>15364764.608333332</v>
          </cell>
        </row>
        <row r="140">
          <cell r="F140">
            <v>952298.17833333334</v>
          </cell>
        </row>
        <row r="141">
          <cell r="F141">
            <v>236695.68499999997</v>
          </cell>
        </row>
        <row r="142">
          <cell r="F142">
            <v>1025784.4083333333</v>
          </cell>
        </row>
        <row r="143">
          <cell r="F143">
            <v>1056516.7233333334</v>
          </cell>
        </row>
        <row r="144">
          <cell r="F144">
            <v>211634.80666666667</v>
          </cell>
        </row>
        <row r="145">
          <cell r="F145">
            <v>1206990.3416666666</v>
          </cell>
        </row>
        <row r="146">
          <cell r="F146">
            <v>64007.606666666667</v>
          </cell>
        </row>
        <row r="147">
          <cell r="F147">
            <v>2998624.4450000003</v>
          </cell>
        </row>
        <row r="148">
          <cell r="F148">
            <v>20299834.331666667</v>
          </cell>
        </row>
        <row r="149">
          <cell r="F149">
            <v>3379698</v>
          </cell>
        </row>
        <row r="150">
          <cell r="F150">
            <v>4172159.9</v>
          </cell>
        </row>
        <row r="151">
          <cell r="F151">
            <v>2453555.5916666668</v>
          </cell>
        </row>
        <row r="152">
          <cell r="F152">
            <v>563104.86499999999</v>
          </cell>
        </row>
        <row r="153">
          <cell r="F153">
            <v>2078703.3566666665</v>
          </cell>
        </row>
        <row r="154">
          <cell r="F154">
            <v>5407118.5466666669</v>
          </cell>
        </row>
        <row r="155">
          <cell r="F155">
            <v>5164781.2649999997</v>
          </cell>
        </row>
        <row r="156">
          <cell r="F156">
            <v>595376.55833333335</v>
          </cell>
        </row>
        <row r="157">
          <cell r="F157">
            <v>537667.42166666675</v>
          </cell>
        </row>
        <row r="158">
          <cell r="F158">
            <v>615179.11499999999</v>
          </cell>
        </row>
        <row r="159">
          <cell r="F159">
            <v>268437.07500000001</v>
          </cell>
        </row>
        <row r="160">
          <cell r="F160">
            <v>6008824.041666667</v>
          </cell>
        </row>
        <row r="161">
          <cell r="F161">
            <v>333633.34333333332</v>
          </cell>
        </row>
        <row r="162">
          <cell r="F162">
            <v>402732.50666666665</v>
          </cell>
        </row>
        <row r="163">
          <cell r="F163">
            <v>444608.63666666666</v>
          </cell>
        </row>
        <row r="164">
          <cell r="F164">
            <v>39824.713333333326</v>
          </cell>
        </row>
        <row r="165">
          <cell r="F165">
            <v>24880169.728333335</v>
          </cell>
        </row>
        <row r="166">
          <cell r="F166">
            <v>474942.61000000004</v>
          </cell>
        </row>
        <row r="167">
          <cell r="F167">
            <v>417196.55499999999</v>
          </cell>
        </row>
        <row r="168">
          <cell r="F168">
            <v>5618232.2583333338</v>
          </cell>
        </row>
        <row r="169">
          <cell r="F169">
            <v>411296.31833333336</v>
          </cell>
        </row>
        <row r="170">
          <cell r="F170">
            <v>1822485.6816666666</v>
          </cell>
        </row>
        <row r="171">
          <cell r="F171">
            <v>1598324.5233333334</v>
          </cell>
        </row>
        <row r="172">
          <cell r="F172">
            <v>7750411.4349999996</v>
          </cell>
        </row>
        <row r="173">
          <cell r="F173">
            <v>373736.12833333336</v>
          </cell>
        </row>
        <row r="174">
          <cell r="F174">
            <v>466449.90833333327</v>
          </cell>
        </row>
        <row r="175">
          <cell r="F175">
            <v>555440.46666666667</v>
          </cell>
        </row>
        <row r="176">
          <cell r="F176">
            <v>1108526.6383333334</v>
          </cell>
        </row>
        <row r="177">
          <cell r="F177">
            <v>96005.428333333344</v>
          </cell>
        </row>
        <row r="178">
          <cell r="F178">
            <v>3825423.3066666671</v>
          </cell>
        </row>
        <row r="179">
          <cell r="F179">
            <v>2826015.6333333333</v>
          </cell>
        </row>
        <row r="180">
          <cell r="F180">
            <v>157749.74666666667</v>
          </cell>
        </row>
        <row r="181">
          <cell r="F181">
            <v>1969790.0883333331</v>
          </cell>
        </row>
        <row r="182">
          <cell r="F182">
            <v>1380594.8616666666</v>
          </cell>
        </row>
        <row r="183">
          <cell r="F183">
            <v>1324719.4366666668</v>
          </cell>
        </row>
        <row r="184">
          <cell r="F184">
            <v>537046.43499999994</v>
          </cell>
        </row>
        <row r="185">
          <cell r="F185">
            <v>912481.45166666666</v>
          </cell>
        </row>
        <row r="186">
          <cell r="F186">
            <v>29387319.114999998</v>
          </cell>
        </row>
        <row r="187">
          <cell r="F187">
            <v>653768.9966666667</v>
          </cell>
        </row>
        <row r="188">
          <cell r="F188">
            <v>83451.203333333324</v>
          </cell>
        </row>
        <row r="189">
          <cell r="F189">
            <v>666288.73499999999</v>
          </cell>
        </row>
        <row r="190">
          <cell r="F190">
            <v>8367991.4916666672</v>
          </cell>
        </row>
        <row r="191">
          <cell r="F191">
            <v>673832.0083333333</v>
          </cell>
        </row>
        <row r="192">
          <cell r="F192">
            <v>240715.995</v>
          </cell>
        </row>
        <row r="193">
          <cell r="F193">
            <v>690591.18333333347</v>
          </cell>
        </row>
        <row r="194">
          <cell r="F194">
            <v>979959.99833333341</v>
          </cell>
        </row>
        <row r="195">
          <cell r="F195">
            <v>542457.20666666667</v>
          </cell>
        </row>
        <row r="196">
          <cell r="F196">
            <v>971076.93833333335</v>
          </cell>
        </row>
        <row r="197">
          <cell r="F197">
            <v>287237.01500000001</v>
          </cell>
        </row>
        <row r="198">
          <cell r="F198">
            <v>1118745.6383333334</v>
          </cell>
        </row>
        <row r="199">
          <cell r="F199">
            <v>3761116.2033333331</v>
          </cell>
        </row>
        <row r="200">
          <cell r="F200">
            <v>792002.83166666667</v>
          </cell>
        </row>
        <row r="201">
          <cell r="F201">
            <v>2589627.895</v>
          </cell>
        </row>
        <row r="202">
          <cell r="F202">
            <v>261641.57166666666</v>
          </cell>
        </row>
        <row r="203">
          <cell r="F203">
            <v>1313611.9616666667</v>
          </cell>
        </row>
        <row r="204">
          <cell r="F204">
            <v>519630.92666666675</v>
          </cell>
        </row>
        <row r="205">
          <cell r="F205">
            <v>1175829.8800000001</v>
          </cell>
        </row>
        <row r="206">
          <cell r="F206">
            <v>588854.77166666661</v>
          </cell>
        </row>
        <row r="207">
          <cell r="F207">
            <v>566124.15500000003</v>
          </cell>
        </row>
        <row r="208">
          <cell r="F208">
            <v>170326.85833333331</v>
          </cell>
        </row>
        <row r="209">
          <cell r="F209">
            <v>1743602.8683333334</v>
          </cell>
        </row>
        <row r="210">
          <cell r="F210">
            <v>830495.6083333334</v>
          </cell>
        </row>
        <row r="211">
          <cell r="F211">
            <v>583937.75166666659</v>
          </cell>
        </row>
        <row r="212">
          <cell r="F212">
            <v>5287351.041666667</v>
          </cell>
        </row>
        <row r="213">
          <cell r="F213">
            <v>1036352.63</v>
          </cell>
        </row>
        <row r="214">
          <cell r="F214">
            <v>539782.99000000011</v>
          </cell>
        </row>
        <row r="215">
          <cell r="F215">
            <v>258982.51</v>
          </cell>
        </row>
        <row r="216">
          <cell r="F216">
            <v>3425821.2050000001</v>
          </cell>
        </row>
        <row r="217">
          <cell r="F217">
            <v>2738984.6733333333</v>
          </cell>
        </row>
        <row r="218">
          <cell r="F218">
            <v>332125.32500000001</v>
          </cell>
        </row>
        <row r="219">
          <cell r="F219">
            <v>419783.27666666667</v>
          </cell>
        </row>
        <row r="220">
          <cell r="F220">
            <v>2965174.1349999998</v>
          </cell>
        </row>
        <row r="221">
          <cell r="F221">
            <v>520858.29833333334</v>
          </cell>
        </row>
        <row r="222">
          <cell r="F222">
            <v>606752.24666666659</v>
          </cell>
        </row>
        <row r="223">
          <cell r="F223">
            <v>886499.11833333329</v>
          </cell>
        </row>
        <row r="224">
          <cell r="F224">
            <v>945881.19499999995</v>
          </cell>
        </row>
        <row r="225">
          <cell r="F225">
            <v>397999.1783333334</v>
          </cell>
        </row>
        <row r="226">
          <cell r="F226">
            <v>6084599.2316666665</v>
          </cell>
        </row>
        <row r="227">
          <cell r="F227">
            <v>913381.625</v>
          </cell>
        </row>
        <row r="228">
          <cell r="F228">
            <v>363592.57166666671</v>
          </cell>
        </row>
        <row r="229">
          <cell r="F229">
            <v>239386.88833333334</v>
          </cell>
        </row>
        <row r="230">
          <cell r="F230">
            <v>1556740.2050000001</v>
          </cell>
        </row>
        <row r="231">
          <cell r="F231">
            <v>779141.17166666652</v>
          </cell>
        </row>
        <row r="232">
          <cell r="F232">
            <v>994967.70500000007</v>
          </cell>
        </row>
        <row r="233">
          <cell r="F233">
            <v>3094503.2116666664</v>
          </cell>
        </row>
        <row r="234">
          <cell r="F234">
            <v>106579.94833333332</v>
          </cell>
        </row>
        <row r="235">
          <cell r="F235">
            <v>462999.25333333341</v>
          </cell>
        </row>
        <row r="236">
          <cell r="F236">
            <v>1323304.75</v>
          </cell>
        </row>
        <row r="237">
          <cell r="F237">
            <v>250409.15333333332</v>
          </cell>
        </row>
        <row r="238">
          <cell r="F238">
            <v>3201652.0350000001</v>
          </cell>
        </row>
        <row r="239">
          <cell r="F239">
            <v>434720.28499999997</v>
          </cell>
        </row>
        <row r="240">
          <cell r="F240">
            <v>2506883.14</v>
          </cell>
        </row>
        <row r="241">
          <cell r="F241">
            <v>892087.68333333323</v>
          </cell>
        </row>
        <row r="242">
          <cell r="F242">
            <v>18576616.594999999</v>
          </cell>
        </row>
        <row r="243">
          <cell r="F243">
            <v>4475025.9466666663</v>
          </cell>
        </row>
        <row r="244">
          <cell r="F244">
            <v>963793.46166666655</v>
          </cell>
        </row>
        <row r="245">
          <cell r="F245">
            <v>5924146.125</v>
          </cell>
        </row>
        <row r="246">
          <cell r="F246">
            <v>9779168.1150000002</v>
          </cell>
        </row>
        <row r="247">
          <cell r="F247">
            <v>589086.63333333342</v>
          </cell>
        </row>
        <row r="248">
          <cell r="F248">
            <v>2321590.6733333333</v>
          </cell>
        </row>
        <row r="249">
          <cell r="F249">
            <v>669805.69666666666</v>
          </cell>
        </row>
        <row r="250">
          <cell r="F250">
            <v>579778.92333333334</v>
          </cell>
        </row>
        <row r="251">
          <cell r="F251">
            <v>2577500.6766666668</v>
          </cell>
        </row>
        <row r="252">
          <cell r="F252">
            <v>1244962.0633333332</v>
          </cell>
        </row>
        <row r="253">
          <cell r="F253">
            <v>2012860.843333333</v>
          </cell>
        </row>
        <row r="254">
          <cell r="F254">
            <v>96052.525000000009</v>
          </cell>
        </row>
        <row r="255">
          <cell r="F255">
            <v>1092663.0433333332</v>
          </cell>
        </row>
        <row r="256">
          <cell r="F256">
            <v>276566.32166666671</v>
          </cell>
        </row>
        <row r="257">
          <cell r="F257">
            <v>3975588.4166666665</v>
          </cell>
        </row>
        <row r="258">
          <cell r="F258">
            <v>88479.041666666672</v>
          </cell>
        </row>
        <row r="259">
          <cell r="F259">
            <v>1231128.3766666667</v>
          </cell>
        </row>
        <row r="260">
          <cell r="F260">
            <v>393011.53666666668</v>
          </cell>
        </row>
        <row r="261">
          <cell r="F261">
            <v>361934.13166666665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voices"/>
      <sheetName val="assessment"/>
      <sheetName val="payroll"/>
      <sheetName val="IFR"/>
      <sheetName val="claims"/>
      <sheetName val="costs"/>
    </sheetNames>
    <sheetDataSet>
      <sheetData sheetId="0" refreshError="1"/>
      <sheetData sheetId="1" refreshError="1"/>
      <sheetData sheetId="2" refreshError="1"/>
      <sheetData sheetId="3" refreshError="1">
        <row r="5">
          <cell r="AD5">
            <v>3.0181513912180369E-3</v>
          </cell>
        </row>
        <row r="261">
          <cell r="AD261">
            <v>1.2107212057282749E-2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1"/>
  <sheetViews>
    <sheetView view="pageBreakPreview" zoomScaleNormal="100" zoomScaleSheetLayoutView="100" workbookViewId="0">
      <selection activeCell="D5" sqref="D5"/>
    </sheetView>
  </sheetViews>
  <sheetFormatPr defaultColWidth="9.140625" defaultRowHeight="12.75" outlineLevelRow="1"/>
  <cols>
    <col min="1" max="1" width="6" style="1" customWidth="1"/>
    <col min="2" max="2" width="33.5703125" style="1" customWidth="1"/>
    <col min="3" max="3" width="2.42578125" style="1" customWidth="1"/>
    <col min="4" max="4" width="10.140625" style="1" customWidth="1"/>
    <col min="5" max="5" width="2.28515625" style="1" customWidth="1"/>
    <col min="6" max="6" width="13.140625" style="1" customWidth="1"/>
    <col min="7" max="7" width="1.5703125" style="1" customWidth="1"/>
    <col min="8" max="8" width="14" style="1" bestFit="1" customWidth="1"/>
    <col min="9" max="9" width="1.5703125" style="1" customWidth="1"/>
    <col min="10" max="10" width="15" style="1" customWidth="1"/>
    <col min="11" max="11" width="11.42578125" style="1" customWidth="1"/>
    <col min="12" max="12" width="14.85546875" style="1" customWidth="1"/>
    <col min="13" max="13" width="13.28515625" style="49" customWidth="1"/>
    <col min="14" max="14" width="12.7109375" style="49" customWidth="1"/>
    <col min="15" max="17" width="13.42578125" style="49" customWidth="1"/>
    <col min="18" max="18" width="11.7109375" style="1" customWidth="1"/>
    <col min="19" max="22" width="9.140625" style="1" customWidth="1"/>
    <col min="23" max="16384" width="9.140625" style="1"/>
  </cols>
  <sheetData>
    <row r="1" spans="1:17">
      <c r="D1" s="12" t="s">
        <v>0</v>
      </c>
      <c r="F1" s="12"/>
      <c r="H1" s="12" t="s">
        <v>552</v>
      </c>
      <c r="J1" s="12"/>
      <c r="K1" s="12" t="s">
        <v>574</v>
      </c>
      <c r="L1" s="12" t="s">
        <v>576</v>
      </c>
      <c r="M1" s="12" t="s">
        <v>554</v>
      </c>
      <c r="N1" s="12" t="s">
        <v>577</v>
      </c>
    </row>
    <row r="2" spans="1:17">
      <c r="A2" s="47" t="s">
        <v>449</v>
      </c>
      <c r="B2" s="12"/>
      <c r="D2" s="12" t="s">
        <v>3</v>
      </c>
      <c r="F2" s="12" t="s">
        <v>3</v>
      </c>
      <c r="H2" s="12" t="s">
        <v>553</v>
      </c>
      <c r="J2" s="12" t="s">
        <v>543</v>
      </c>
      <c r="K2" s="12" t="s">
        <v>573</v>
      </c>
      <c r="L2" s="12" t="s">
        <v>553</v>
      </c>
      <c r="M2" s="12" t="s">
        <v>578</v>
      </c>
      <c r="N2" s="12" t="s">
        <v>578</v>
      </c>
      <c r="O2" s="12" t="s">
        <v>573</v>
      </c>
      <c r="P2" s="12" t="s">
        <v>573</v>
      </c>
      <c r="Q2" s="12" t="s">
        <v>582</v>
      </c>
    </row>
    <row r="3" spans="1:17">
      <c r="A3" s="13" t="s">
        <v>447</v>
      </c>
      <c r="B3" s="13" t="s">
        <v>448</v>
      </c>
      <c r="D3" s="20" t="s">
        <v>5</v>
      </c>
      <c r="F3" s="20" t="s">
        <v>6</v>
      </c>
      <c r="H3" s="20" t="s">
        <v>6</v>
      </c>
      <c r="J3" s="20" t="s">
        <v>6</v>
      </c>
      <c r="K3" s="13" t="s">
        <v>575</v>
      </c>
      <c r="L3" s="13" t="s">
        <v>6</v>
      </c>
      <c r="M3" s="13" t="s">
        <v>579</v>
      </c>
      <c r="N3" s="13" t="s">
        <v>579</v>
      </c>
      <c r="O3" s="13" t="s">
        <v>580</v>
      </c>
      <c r="P3" s="13" t="s">
        <v>581</v>
      </c>
      <c r="Q3" s="13" t="s">
        <v>583</v>
      </c>
    </row>
    <row r="4" spans="1:17">
      <c r="D4" s="21"/>
      <c r="F4" s="10"/>
    </row>
    <row r="5" spans="1:17">
      <c r="A5" s="1" t="s">
        <v>7</v>
      </c>
      <c r="B5" s="1" t="s">
        <v>500</v>
      </c>
      <c r="D5" s="9">
        <f>+assessment!H5</f>
        <v>7.1848859151123754E-4</v>
      </c>
      <c r="F5" s="2">
        <f>+assessment!J5</f>
        <v>37598.688499671909</v>
      </c>
      <c r="H5" s="22">
        <v>-32348.953038951498</v>
      </c>
      <c r="J5" s="4">
        <f>SUM(F5:H5)</f>
        <v>5249.7354607204106</v>
      </c>
      <c r="K5" s="22">
        <v>-225</v>
      </c>
      <c r="L5" s="22">
        <f>H5+K5</f>
        <v>-32573.953038951498</v>
      </c>
      <c r="M5" s="66">
        <v>1</v>
      </c>
      <c r="N5" s="67">
        <v>0</v>
      </c>
      <c r="O5" s="51">
        <v>225</v>
      </c>
      <c r="P5" s="51">
        <f>O5*N5</f>
        <v>0</v>
      </c>
      <c r="Q5" s="53">
        <f>P5+J5</f>
        <v>5249.7354607204106</v>
      </c>
    </row>
    <row r="6" spans="1:17">
      <c r="A6" s="1" t="s">
        <v>8</v>
      </c>
      <c r="B6" s="1" t="s">
        <v>501</v>
      </c>
      <c r="D6" s="9">
        <f>+assessment!H6</f>
        <v>9.3692565124908864E-4</v>
      </c>
      <c r="F6" s="2">
        <f>+assessment!J6</f>
        <v>49029.554713696176</v>
      </c>
      <c r="H6" s="22">
        <v>-42183.381480607793</v>
      </c>
      <c r="J6" s="4">
        <f t="shared" ref="J6:J28" si="0">SUM(F6:H6)</f>
        <v>6846.1732330883824</v>
      </c>
      <c r="K6" s="22">
        <v>-225</v>
      </c>
      <c r="L6" s="22">
        <f t="shared" ref="L6:L69" si="1">H6+K6</f>
        <v>-42408.381480607793</v>
      </c>
      <c r="M6" s="66">
        <v>1</v>
      </c>
      <c r="N6" s="67">
        <v>0</v>
      </c>
      <c r="O6" s="51">
        <v>225</v>
      </c>
      <c r="P6" s="51">
        <f>O6*N6</f>
        <v>0</v>
      </c>
      <c r="Q6" s="53">
        <f t="shared" ref="Q6:Q69" si="2">P6+J6</f>
        <v>6846.1732330883824</v>
      </c>
    </row>
    <row r="7" spans="1:17">
      <c r="A7" s="1" t="s">
        <v>9</v>
      </c>
      <c r="B7" s="1" t="s">
        <v>10</v>
      </c>
      <c r="D7" s="9">
        <f>+assessment!H7</f>
        <v>5.89284307608545E-4</v>
      </c>
      <c r="F7" s="2">
        <f>+assessment!J7</f>
        <v>30837.395863051763</v>
      </c>
      <c r="H7" s="22">
        <v>-26531.822450824118</v>
      </c>
      <c r="J7" s="4">
        <f t="shared" si="0"/>
        <v>4305.5734122276444</v>
      </c>
      <c r="K7" s="22">
        <v>-225</v>
      </c>
      <c r="L7" s="22">
        <f t="shared" si="1"/>
        <v>-26756.822450824118</v>
      </c>
      <c r="M7" s="66">
        <v>1</v>
      </c>
      <c r="N7" s="67">
        <v>0</v>
      </c>
      <c r="O7" s="51">
        <v>225</v>
      </c>
      <c r="P7" s="51">
        <f t="shared" ref="P7:P69" si="3">O7*N7</f>
        <v>0</v>
      </c>
      <c r="Q7" s="53">
        <f t="shared" si="2"/>
        <v>4305.5734122276444</v>
      </c>
    </row>
    <row r="8" spans="1:17">
      <c r="A8" s="1" t="s">
        <v>11</v>
      </c>
      <c r="B8" s="1" t="s">
        <v>12</v>
      </c>
      <c r="D8" s="9">
        <f>+assessment!H8</f>
        <v>2.3408976601173992E-4</v>
      </c>
      <c r="F8" s="2">
        <f>+assessment!J8</f>
        <v>12249.976265766267</v>
      </c>
      <c r="H8" s="22">
        <v>-10539.717655661112</v>
      </c>
      <c r="J8" s="4">
        <f t="shared" si="0"/>
        <v>1710.2586101051547</v>
      </c>
      <c r="K8" s="22">
        <v>-225</v>
      </c>
      <c r="L8" s="22">
        <f t="shared" si="1"/>
        <v>-10764.717655661112</v>
      </c>
      <c r="M8" s="66">
        <v>1</v>
      </c>
      <c r="N8" s="67">
        <v>0</v>
      </c>
      <c r="O8" s="51">
        <v>225</v>
      </c>
      <c r="P8" s="51">
        <f t="shared" si="3"/>
        <v>0</v>
      </c>
      <c r="Q8" s="53">
        <f t="shared" si="2"/>
        <v>1710.2586101051547</v>
      </c>
    </row>
    <row r="9" spans="1:17">
      <c r="A9" s="1" t="s">
        <v>13</v>
      </c>
      <c r="B9" s="1" t="s">
        <v>14</v>
      </c>
      <c r="D9" s="9">
        <f>+assessment!H9</f>
        <v>3.054567572022853E-5</v>
      </c>
      <c r="F9" s="2">
        <f>+assessment!J9</f>
        <v>1598.4628844296703</v>
      </c>
      <c r="H9" s="22">
        <v>-1375.2673495939684</v>
      </c>
      <c r="J9" s="4">
        <f t="shared" si="0"/>
        <v>223.19553483570189</v>
      </c>
      <c r="K9" s="22">
        <v>0</v>
      </c>
      <c r="L9" s="22">
        <f t="shared" si="1"/>
        <v>-1375.2673495939684</v>
      </c>
      <c r="M9" s="66">
        <v>0</v>
      </c>
      <c r="N9" s="67">
        <v>0</v>
      </c>
      <c r="O9" s="51">
        <v>225</v>
      </c>
      <c r="P9" s="51">
        <f t="shared" si="3"/>
        <v>0</v>
      </c>
      <c r="Q9" s="53">
        <f t="shared" si="2"/>
        <v>223.19553483570189</v>
      </c>
    </row>
    <row r="10" spans="1:17">
      <c r="A10" s="1" t="s">
        <v>15</v>
      </c>
      <c r="B10" s="1" t="s">
        <v>16</v>
      </c>
      <c r="D10" s="9">
        <f>+assessment!H10</f>
        <v>4.4365641772122437E-5</v>
      </c>
      <c r="F10" s="2">
        <f>+assessment!J10</f>
        <v>2321.6651799153497</v>
      </c>
      <c r="H10" s="22">
        <v>-1997.5120549170217</v>
      </c>
      <c r="J10" s="4">
        <f t="shared" si="0"/>
        <v>324.15312499832794</v>
      </c>
      <c r="K10" s="22">
        <v>-225</v>
      </c>
      <c r="L10" s="22">
        <f t="shared" si="1"/>
        <v>-2222.5120549170215</v>
      </c>
      <c r="M10" s="66">
        <v>1</v>
      </c>
      <c r="N10" s="67">
        <v>0</v>
      </c>
      <c r="O10" s="51">
        <v>225</v>
      </c>
      <c r="P10" s="51">
        <f t="shared" si="3"/>
        <v>0</v>
      </c>
      <c r="Q10" s="53">
        <f>P10+J10</f>
        <v>324.15312499832794</v>
      </c>
    </row>
    <row r="11" spans="1:17">
      <c r="A11" s="1" t="s">
        <v>17</v>
      </c>
      <c r="B11" s="1" t="s">
        <v>18</v>
      </c>
      <c r="D11" s="9">
        <f>+assessment!H11</f>
        <v>1.4616603577974514E-4</v>
      </c>
      <c r="F11" s="2">
        <f>+assessment!J11</f>
        <v>7648.9053736472333</v>
      </c>
      <c r="H11" s="22">
        <v>-6580.978811396697</v>
      </c>
      <c r="J11" s="4">
        <f t="shared" si="0"/>
        <v>1067.9265622505363</v>
      </c>
      <c r="K11" s="22">
        <v>-225</v>
      </c>
      <c r="L11" s="22">
        <f t="shared" si="1"/>
        <v>-6805.978811396697</v>
      </c>
      <c r="M11" s="66">
        <v>1</v>
      </c>
      <c r="N11" s="67">
        <v>0</v>
      </c>
      <c r="O11" s="51">
        <v>225</v>
      </c>
      <c r="P11" s="51">
        <f t="shared" si="3"/>
        <v>0</v>
      </c>
      <c r="Q11" s="53">
        <f>P11+J11</f>
        <v>1067.9265622505363</v>
      </c>
    </row>
    <row r="12" spans="1:17">
      <c r="A12" s="1" t="s">
        <v>19</v>
      </c>
      <c r="B12" s="1" t="s">
        <v>20</v>
      </c>
      <c r="D12" s="9">
        <f>+assessment!H12</f>
        <v>3.5860618302718363E-5</v>
      </c>
      <c r="F12" s="2">
        <f>+assessment!J12</f>
        <v>1876.5951650443883</v>
      </c>
      <c r="H12" s="22">
        <v>-1614.5794635526322</v>
      </c>
      <c r="J12" s="4">
        <f t="shared" si="0"/>
        <v>262.01570149175609</v>
      </c>
      <c r="K12" s="22">
        <v>0</v>
      </c>
      <c r="L12" s="22">
        <f t="shared" si="1"/>
        <v>-1614.5794635526322</v>
      </c>
      <c r="M12" s="66">
        <v>0</v>
      </c>
      <c r="N12" s="67">
        <v>0</v>
      </c>
      <c r="O12" s="51">
        <v>225</v>
      </c>
      <c r="P12" s="51">
        <f t="shared" si="3"/>
        <v>0</v>
      </c>
      <c r="Q12" s="53">
        <f t="shared" si="2"/>
        <v>262.01570149175609</v>
      </c>
    </row>
    <row r="13" spans="1:17">
      <c r="A13" s="1" t="s">
        <v>21</v>
      </c>
      <c r="B13" s="1" t="s">
        <v>22</v>
      </c>
      <c r="D13" s="9">
        <f>+assessment!H13</f>
        <v>1.2207489507282682E-4</v>
      </c>
      <c r="F13" s="2">
        <f>+assessment!J13</f>
        <v>6388.2099280369175</v>
      </c>
      <c r="H13" s="22">
        <v>-5496.3299238134496</v>
      </c>
      <c r="J13" s="4">
        <f t="shared" si="0"/>
        <v>891.88000422346795</v>
      </c>
      <c r="K13" s="22">
        <v>-225</v>
      </c>
      <c r="L13" s="22">
        <f t="shared" si="1"/>
        <v>-5721.3299238134496</v>
      </c>
      <c r="M13" s="66">
        <v>1</v>
      </c>
      <c r="N13" s="67">
        <v>0</v>
      </c>
      <c r="O13" s="51">
        <v>225</v>
      </c>
      <c r="P13" s="51">
        <f t="shared" si="3"/>
        <v>0</v>
      </c>
      <c r="Q13" s="53">
        <f t="shared" si="2"/>
        <v>891.88000422346795</v>
      </c>
    </row>
    <row r="14" spans="1:17">
      <c r="A14" s="1" t="s">
        <v>23</v>
      </c>
      <c r="B14" s="1" t="s">
        <v>24</v>
      </c>
      <c r="D14" s="9">
        <f>+assessment!H14</f>
        <v>4.401093786361494E-4</v>
      </c>
      <c r="F14" s="2">
        <f>+assessment!J14</f>
        <v>23031.034352708895</v>
      </c>
      <c r="H14" s="22">
        <v>-19815.402597029322</v>
      </c>
      <c r="J14" s="4">
        <f t="shared" si="0"/>
        <v>3215.631755679573</v>
      </c>
      <c r="K14" s="22">
        <v>0</v>
      </c>
      <c r="L14" s="22">
        <f t="shared" si="1"/>
        <v>-19815.402597029322</v>
      </c>
      <c r="M14" s="66">
        <v>0</v>
      </c>
      <c r="N14" s="67">
        <v>0</v>
      </c>
      <c r="O14" s="51">
        <v>225</v>
      </c>
      <c r="P14" s="51">
        <f t="shared" si="3"/>
        <v>0</v>
      </c>
      <c r="Q14" s="53">
        <f t="shared" si="2"/>
        <v>3215.631755679573</v>
      </c>
    </row>
    <row r="15" spans="1:17">
      <c r="A15" s="1" t="s">
        <v>25</v>
      </c>
      <c r="B15" s="1" t="s">
        <v>26</v>
      </c>
      <c r="D15" s="9">
        <f>+assessment!H15</f>
        <v>7.3250211435420912E-6</v>
      </c>
      <c r="F15" s="2">
        <f>+assessment!J15</f>
        <v>383.32019670661958</v>
      </c>
      <c r="H15" s="22">
        <v>-329.80344828330726</v>
      </c>
      <c r="J15" s="4">
        <f t="shared" si="0"/>
        <v>53.516748423312322</v>
      </c>
      <c r="K15" s="22">
        <v>-225</v>
      </c>
      <c r="L15" s="22">
        <f t="shared" si="1"/>
        <v>-554.80344828330726</v>
      </c>
      <c r="M15" s="66">
        <v>1</v>
      </c>
      <c r="N15" s="67">
        <v>0</v>
      </c>
      <c r="O15" s="51">
        <v>225</v>
      </c>
      <c r="P15" s="51">
        <f t="shared" si="3"/>
        <v>0</v>
      </c>
      <c r="Q15" s="53">
        <f t="shared" si="2"/>
        <v>53.516748423312322</v>
      </c>
    </row>
    <row r="16" spans="1:17">
      <c r="A16" s="1" t="s">
        <v>532</v>
      </c>
      <c r="B16" s="1" t="s">
        <v>555</v>
      </c>
      <c r="D16" s="9">
        <f>+assessment!H16</f>
        <v>3.8197546269300682E-5</v>
      </c>
      <c r="F16" s="2">
        <f>+assessment!J16</f>
        <v>1998.8871926420541</v>
      </c>
      <c r="H16" s="22">
        <v>-1719.8057973272239</v>
      </c>
      <c r="J16" s="4">
        <f>SUM(F16:H16)</f>
        <v>279.08139531483016</v>
      </c>
      <c r="K16" s="22">
        <v>0</v>
      </c>
      <c r="L16" s="22">
        <f t="shared" si="1"/>
        <v>-1719.8057973272239</v>
      </c>
      <c r="M16" s="66">
        <v>0</v>
      </c>
      <c r="N16" s="67">
        <v>0</v>
      </c>
      <c r="O16" s="51">
        <v>225</v>
      </c>
      <c r="P16" s="51">
        <f t="shared" si="3"/>
        <v>0</v>
      </c>
      <c r="Q16" s="53">
        <f t="shared" si="2"/>
        <v>279.08139531483016</v>
      </c>
    </row>
    <row r="17" spans="1:17">
      <c r="A17" s="1" t="s">
        <v>27</v>
      </c>
      <c r="B17" s="1" t="s">
        <v>502</v>
      </c>
      <c r="D17" s="9">
        <f>+assessment!H17</f>
        <v>7.3872494892316689E-5</v>
      </c>
      <c r="F17" s="2">
        <f>+assessment!J17</f>
        <v>3865.7662167018243</v>
      </c>
      <c r="H17" s="22">
        <v>-3326.0620208560404</v>
      </c>
      <c r="J17" s="4">
        <f>SUM(F17:H17)</f>
        <v>539.70419584578394</v>
      </c>
      <c r="K17" s="22">
        <v>-225</v>
      </c>
      <c r="L17" s="22">
        <f t="shared" si="1"/>
        <v>-3551.0620208560404</v>
      </c>
      <c r="M17" s="66">
        <v>1</v>
      </c>
      <c r="N17" s="67">
        <v>0</v>
      </c>
      <c r="O17" s="51">
        <v>225</v>
      </c>
      <c r="P17" s="51">
        <f t="shared" si="3"/>
        <v>0</v>
      </c>
      <c r="Q17" s="53">
        <f t="shared" si="2"/>
        <v>539.70419584578394</v>
      </c>
    </row>
    <row r="18" spans="1:17">
      <c r="A18" s="1" t="s">
        <v>28</v>
      </c>
      <c r="B18" s="1" t="s">
        <v>503</v>
      </c>
      <c r="D18" s="9">
        <f>+assessment!H18</f>
        <v>7.7915299628293546E-5</v>
      </c>
      <c r="F18" s="2">
        <f>+assessment!J18</f>
        <v>4077.3272042093272</v>
      </c>
      <c r="H18" s="22">
        <v>-3508.0788795264334</v>
      </c>
      <c r="J18" s="4">
        <f t="shared" si="0"/>
        <v>569.24832468289378</v>
      </c>
      <c r="K18" s="22">
        <v>0</v>
      </c>
      <c r="L18" s="22">
        <f t="shared" si="1"/>
        <v>-3508.0788795264334</v>
      </c>
      <c r="M18" s="66">
        <v>0</v>
      </c>
      <c r="N18" s="67">
        <v>0</v>
      </c>
      <c r="O18" s="51">
        <v>225</v>
      </c>
      <c r="P18" s="51">
        <f t="shared" si="3"/>
        <v>0</v>
      </c>
      <c r="Q18" s="53">
        <f t="shared" si="2"/>
        <v>569.24832468289378</v>
      </c>
    </row>
    <row r="19" spans="1:17">
      <c r="A19" s="1" t="s">
        <v>29</v>
      </c>
      <c r="B19" s="1" t="s">
        <v>504</v>
      </c>
      <c r="D19" s="9">
        <f>+assessment!H19</f>
        <v>5.7324433696183752E-5</v>
      </c>
      <c r="F19" s="2">
        <f>+assessment!J19</f>
        <v>2999.8020169387732</v>
      </c>
      <c r="H19" s="22">
        <v>-2580.986917870257</v>
      </c>
      <c r="J19" s="4">
        <f t="shared" si="0"/>
        <v>418.81509906851625</v>
      </c>
      <c r="K19" s="22">
        <v>0</v>
      </c>
      <c r="L19" s="22">
        <f t="shared" si="1"/>
        <v>-2580.986917870257</v>
      </c>
      <c r="M19" s="66">
        <v>0</v>
      </c>
      <c r="N19" s="67">
        <v>0</v>
      </c>
      <c r="O19" s="51">
        <v>225</v>
      </c>
      <c r="P19" s="51">
        <f t="shared" si="3"/>
        <v>0</v>
      </c>
      <c r="Q19" s="53">
        <f t="shared" si="2"/>
        <v>418.81509906851625</v>
      </c>
    </row>
    <row r="20" spans="1:17">
      <c r="A20" s="1" t="s">
        <v>30</v>
      </c>
      <c r="B20" s="1" t="s">
        <v>505</v>
      </c>
      <c r="D20" s="9">
        <f>+assessment!H20</f>
        <v>6.3713185085385404E-5</v>
      </c>
      <c r="F20" s="2">
        <f>+assessment!J20</f>
        <v>3334.1269821817073</v>
      </c>
      <c r="H20" s="22">
        <v>-2868.6456149985047</v>
      </c>
      <c r="J20" s="4">
        <f t="shared" si="0"/>
        <v>465.48136718320256</v>
      </c>
      <c r="K20" s="22">
        <v>-450</v>
      </c>
      <c r="L20" s="22">
        <f t="shared" si="1"/>
        <v>-3318.6456149985047</v>
      </c>
      <c r="M20" s="66">
        <v>2</v>
      </c>
      <c r="N20" s="67">
        <v>0</v>
      </c>
      <c r="O20" s="51">
        <v>225</v>
      </c>
      <c r="P20" s="51">
        <f t="shared" si="3"/>
        <v>0</v>
      </c>
      <c r="Q20" s="53">
        <f t="shared" si="2"/>
        <v>465.48136718320256</v>
      </c>
    </row>
    <row r="21" spans="1:17">
      <c r="A21" s="1" t="s">
        <v>31</v>
      </c>
      <c r="B21" s="1" t="s">
        <v>506</v>
      </c>
      <c r="D21" s="9">
        <f>+assessment!H21</f>
        <v>1.0821748425908056E-4</v>
      </c>
      <c r="F21" s="2">
        <f>+assessment!J21</f>
        <v>5663.0481387562568</v>
      </c>
      <c r="H21" s="22">
        <v>-4923.5452125997726</v>
      </c>
      <c r="J21" s="4">
        <f t="shared" si="0"/>
        <v>739.50292615648414</v>
      </c>
      <c r="K21" s="22">
        <v>0</v>
      </c>
      <c r="L21" s="22">
        <f t="shared" si="1"/>
        <v>-4923.5452125997726</v>
      </c>
      <c r="M21" s="66">
        <v>0</v>
      </c>
      <c r="N21" s="67">
        <v>0</v>
      </c>
      <c r="O21" s="51">
        <v>225</v>
      </c>
      <c r="P21" s="51">
        <f t="shared" si="3"/>
        <v>0</v>
      </c>
      <c r="Q21" s="53">
        <f t="shared" si="2"/>
        <v>739.50292615648414</v>
      </c>
    </row>
    <row r="22" spans="1:17">
      <c r="A22" s="1" t="s">
        <v>32</v>
      </c>
      <c r="B22" s="1" t="s">
        <v>507</v>
      </c>
      <c r="D22" s="9">
        <f>+assessment!H22</f>
        <v>2.7617884988253677E-5</v>
      </c>
      <c r="F22" s="2">
        <f>+assessment!J22</f>
        <v>1445.2508598765605</v>
      </c>
      <c r="H22" s="22">
        <v>-1243.4759416399661</v>
      </c>
      <c r="J22" s="4">
        <f t="shared" si="0"/>
        <v>201.77491823659443</v>
      </c>
      <c r="K22" s="22">
        <v>0</v>
      </c>
      <c r="L22" s="22">
        <f t="shared" si="1"/>
        <v>-1243.4759416399661</v>
      </c>
      <c r="M22" s="66">
        <v>0</v>
      </c>
      <c r="N22" s="67">
        <v>0</v>
      </c>
      <c r="O22" s="51">
        <v>225</v>
      </c>
      <c r="P22" s="51">
        <f t="shared" si="3"/>
        <v>0</v>
      </c>
      <c r="Q22" s="53">
        <f t="shared" si="2"/>
        <v>201.77491823659443</v>
      </c>
    </row>
    <row r="23" spans="1:17">
      <c r="A23" s="1" t="s">
        <v>33</v>
      </c>
      <c r="B23" s="1" t="s">
        <v>508</v>
      </c>
      <c r="D23" s="9">
        <f>+assessment!H23</f>
        <v>3.1232580064129964E-5</v>
      </c>
      <c r="F23" s="2">
        <f>+assessment!J23</f>
        <v>1634.4087613170107</v>
      </c>
      <c r="H23" s="22">
        <v>-1406.2243342647107</v>
      </c>
      <c r="J23" s="4">
        <f t="shared" si="0"/>
        <v>228.18442705229995</v>
      </c>
      <c r="K23" s="22">
        <v>-225</v>
      </c>
      <c r="L23" s="22">
        <f t="shared" si="1"/>
        <v>-1631.2243342647107</v>
      </c>
      <c r="M23" s="66">
        <v>1</v>
      </c>
      <c r="N23" s="67">
        <v>0</v>
      </c>
      <c r="O23" s="51">
        <v>225</v>
      </c>
      <c r="P23" s="51">
        <f t="shared" si="3"/>
        <v>0</v>
      </c>
      <c r="Q23" s="53">
        <f t="shared" si="2"/>
        <v>228.18442705229995</v>
      </c>
    </row>
    <row r="24" spans="1:17">
      <c r="A24" s="1" t="s">
        <v>34</v>
      </c>
      <c r="B24" s="1" t="s">
        <v>509</v>
      </c>
      <c r="D24" s="9">
        <f>+assessment!H24</f>
        <v>2.9450213038798741E-5</v>
      </c>
      <c r="F24" s="2">
        <f>+assessment!J24</f>
        <v>1541.13704709736</v>
      </c>
      <c r="H24" s="22">
        <v>-1325.9682557115748</v>
      </c>
      <c r="J24" s="4">
        <f t="shared" si="0"/>
        <v>215.1687913857852</v>
      </c>
      <c r="K24" s="22">
        <v>0</v>
      </c>
      <c r="L24" s="22">
        <f t="shared" si="1"/>
        <v>-1325.9682557115748</v>
      </c>
      <c r="M24" s="66">
        <v>0</v>
      </c>
      <c r="N24" s="67">
        <v>0</v>
      </c>
      <c r="O24" s="51">
        <v>225</v>
      </c>
      <c r="P24" s="51">
        <f t="shared" si="3"/>
        <v>0</v>
      </c>
      <c r="Q24" s="53">
        <f t="shared" si="2"/>
        <v>215.1687913857852</v>
      </c>
    </row>
    <row r="25" spans="1:17">
      <c r="A25" s="1" t="s">
        <v>35</v>
      </c>
      <c r="B25" s="1" t="s">
        <v>510</v>
      </c>
      <c r="D25" s="9">
        <f>+assessment!H25</f>
        <v>4.4861685916151151E-5</v>
      </c>
      <c r="F25" s="2">
        <f>+assessment!J25</f>
        <v>2347.6232945935426</v>
      </c>
      <c r="H25" s="22">
        <v>-2019.8607880242621</v>
      </c>
      <c r="J25" s="4">
        <f t="shared" si="0"/>
        <v>327.7625065692805</v>
      </c>
      <c r="K25" s="22">
        <v>-225</v>
      </c>
      <c r="L25" s="22">
        <f t="shared" si="1"/>
        <v>-2244.8607880242621</v>
      </c>
      <c r="M25" s="66">
        <v>1</v>
      </c>
      <c r="N25" s="67">
        <v>0</v>
      </c>
      <c r="O25" s="51">
        <v>225</v>
      </c>
      <c r="P25" s="51">
        <f t="shared" si="3"/>
        <v>0</v>
      </c>
      <c r="Q25" s="53">
        <f t="shared" si="2"/>
        <v>327.7625065692805</v>
      </c>
    </row>
    <row r="26" spans="1:17">
      <c r="A26" s="1" t="s">
        <v>36</v>
      </c>
      <c r="B26" s="1" t="s">
        <v>511</v>
      </c>
      <c r="D26" s="9">
        <f>+assessment!H26</f>
        <v>2.7351321139360939E-5</v>
      </c>
      <c r="F26" s="2">
        <f>+assessment!J26</f>
        <v>1431.301506695168</v>
      </c>
      <c r="H26" s="22">
        <v>-1231.4752773331463</v>
      </c>
      <c r="J26" s="4">
        <f t="shared" si="0"/>
        <v>199.82622936202165</v>
      </c>
      <c r="K26" s="22">
        <v>0</v>
      </c>
      <c r="L26" s="22">
        <f t="shared" si="1"/>
        <v>-1231.4752773331463</v>
      </c>
      <c r="M26" s="66">
        <v>0</v>
      </c>
      <c r="N26" s="67">
        <v>0</v>
      </c>
      <c r="O26" s="51">
        <v>225</v>
      </c>
      <c r="P26" s="51">
        <f t="shared" si="3"/>
        <v>0</v>
      </c>
      <c r="Q26" s="53">
        <f t="shared" si="2"/>
        <v>199.82622936202165</v>
      </c>
    </row>
    <row r="27" spans="1:17">
      <c r="A27" s="1" t="s">
        <v>37</v>
      </c>
      <c r="B27" s="1" t="s">
        <v>512</v>
      </c>
      <c r="D27" s="9">
        <f>+assessment!H27</f>
        <v>2.9637662084953317E-5</v>
      </c>
      <c r="F27" s="2">
        <f>+assessment!J27</f>
        <v>1550.9463027754528</v>
      </c>
      <c r="H27" s="22">
        <v>-1334.4074321711137</v>
      </c>
      <c r="J27" s="4">
        <f t="shared" si="0"/>
        <v>216.53887060433908</v>
      </c>
      <c r="K27" s="22">
        <v>0</v>
      </c>
      <c r="L27" s="22">
        <f t="shared" si="1"/>
        <v>-1334.4074321711137</v>
      </c>
      <c r="M27" s="66">
        <v>0</v>
      </c>
      <c r="N27" s="67">
        <v>0</v>
      </c>
      <c r="O27" s="51">
        <v>225</v>
      </c>
      <c r="P27" s="51">
        <f t="shared" si="3"/>
        <v>0</v>
      </c>
      <c r="Q27" s="53">
        <f t="shared" si="2"/>
        <v>216.53887060433908</v>
      </c>
    </row>
    <row r="28" spans="1:17">
      <c r="A28" s="1" t="s">
        <v>38</v>
      </c>
      <c r="B28" s="1" t="s">
        <v>513</v>
      </c>
      <c r="D28" s="9">
        <f>+assessment!H28</f>
        <v>2.7242469968766927E-5</v>
      </c>
      <c r="F28" s="2">
        <f>+assessment!J28</f>
        <v>1425.6052975913037</v>
      </c>
      <c r="H28" s="22">
        <v>-1226.5741061596041</v>
      </c>
      <c r="J28" s="4">
        <f t="shared" si="0"/>
        <v>199.03119143169965</v>
      </c>
      <c r="K28" s="22">
        <v>0</v>
      </c>
      <c r="L28" s="22">
        <f t="shared" si="1"/>
        <v>-1226.5741061596041</v>
      </c>
      <c r="M28" s="66">
        <v>0</v>
      </c>
      <c r="N28" s="67">
        <v>0</v>
      </c>
      <c r="O28" s="51">
        <v>225</v>
      </c>
      <c r="P28" s="51">
        <f t="shared" si="3"/>
        <v>0</v>
      </c>
      <c r="Q28" s="53">
        <f t="shared" si="2"/>
        <v>199.03119143169965</v>
      </c>
    </row>
    <row r="29" spans="1:17">
      <c r="A29" s="1" t="s">
        <v>39</v>
      </c>
      <c r="B29" s="1" t="s">
        <v>514</v>
      </c>
      <c r="D29" s="9">
        <f>+assessment!H29</f>
        <v>5.4766417049154255E-5</v>
      </c>
      <c r="F29" s="2">
        <f>+assessment!J29</f>
        <v>2865.9403631491978</v>
      </c>
      <c r="H29" s="22">
        <v>-2465.8217644032156</v>
      </c>
      <c r="J29" s="4">
        <f>SUM(F29:H29)</f>
        <v>400.11859874598213</v>
      </c>
      <c r="K29" s="22">
        <v>0</v>
      </c>
      <c r="L29" s="22">
        <f t="shared" si="1"/>
        <v>-2465.8217644032156</v>
      </c>
      <c r="M29" s="66">
        <v>0</v>
      </c>
      <c r="N29" s="67">
        <v>0</v>
      </c>
      <c r="O29" s="51">
        <v>225</v>
      </c>
      <c r="P29" s="51">
        <f t="shared" si="3"/>
        <v>0</v>
      </c>
      <c r="Q29" s="53">
        <f t="shared" si="2"/>
        <v>400.11859874598213</v>
      </c>
    </row>
    <row r="30" spans="1:17">
      <c r="A30" s="1" t="s">
        <v>40</v>
      </c>
      <c r="B30" s="1" t="s">
        <v>515</v>
      </c>
      <c r="D30" s="9">
        <f>+assessment!H30</f>
        <v>8.0564290604456565E-5</v>
      </c>
      <c r="F30" s="2">
        <f>+assessment!J30</f>
        <v>4215.9495674979407</v>
      </c>
      <c r="H30" s="22">
        <v>-3627.3599874174633</v>
      </c>
      <c r="J30" s="4">
        <f t="shared" ref="J30:J85" si="4">SUM(F30:H30)</f>
        <v>588.58958008047739</v>
      </c>
      <c r="K30" s="22">
        <v>0</v>
      </c>
      <c r="L30" s="22">
        <f t="shared" si="1"/>
        <v>-3627.3599874174633</v>
      </c>
      <c r="M30" s="66">
        <v>0</v>
      </c>
      <c r="N30" s="67">
        <v>0</v>
      </c>
      <c r="O30" s="51">
        <v>225</v>
      </c>
      <c r="P30" s="51">
        <f t="shared" si="3"/>
        <v>0</v>
      </c>
      <c r="Q30" s="53">
        <f t="shared" si="2"/>
        <v>588.58958008047739</v>
      </c>
    </row>
    <row r="31" spans="1:17">
      <c r="A31" s="48" t="s">
        <v>587</v>
      </c>
      <c r="B31" s="48" t="s">
        <v>588</v>
      </c>
      <c r="D31" s="9">
        <f>+assessment!H31</f>
        <v>3.5908125093522403E-5</v>
      </c>
      <c r="F31" s="2">
        <f>+assessment!J31</f>
        <v>1879.0812073422946</v>
      </c>
      <c r="H31" s="22">
        <v>-1616.7384883483492</v>
      </c>
      <c r="J31" s="4">
        <f>SUM(F31:H31)</f>
        <v>262.34271899394548</v>
      </c>
      <c r="K31" s="22">
        <v>-225</v>
      </c>
      <c r="L31" s="22">
        <f>H31+K31</f>
        <v>-1841.7384883483492</v>
      </c>
      <c r="M31" s="66">
        <v>1</v>
      </c>
      <c r="N31" s="67">
        <v>0</v>
      </c>
      <c r="O31" s="51">
        <v>225</v>
      </c>
      <c r="P31" s="51">
        <f>O31*N31</f>
        <v>0</v>
      </c>
      <c r="Q31" s="53">
        <f>P31+J31</f>
        <v>262.34271899394548</v>
      </c>
    </row>
    <row r="32" spans="1:17">
      <c r="A32" s="1" t="s">
        <v>41</v>
      </c>
      <c r="B32" s="1" t="s">
        <v>516</v>
      </c>
      <c r="D32" s="9">
        <f>+assessment!H32</f>
        <v>3.1167671466562488E-2</v>
      </c>
      <c r="F32" s="2">
        <f>+assessment!J32</f>
        <v>1631012.0780993176</v>
      </c>
      <c r="H32" s="22">
        <v>-1403192.1652864972</v>
      </c>
      <c r="J32" s="4">
        <f>SUM(F32:H32)</f>
        <v>227819.9128128204</v>
      </c>
      <c r="K32" s="22">
        <v>0</v>
      </c>
      <c r="L32" s="22">
        <f t="shared" si="1"/>
        <v>-1403192.1652864972</v>
      </c>
      <c r="M32" s="66">
        <v>0</v>
      </c>
      <c r="N32" s="67">
        <v>0</v>
      </c>
      <c r="O32" s="51">
        <v>225</v>
      </c>
      <c r="P32" s="51">
        <f t="shared" si="3"/>
        <v>0</v>
      </c>
      <c r="Q32" s="53">
        <f t="shared" si="2"/>
        <v>227819.9128128204</v>
      </c>
    </row>
    <row r="33" spans="1:18">
      <c r="A33" s="1" t="s">
        <v>42</v>
      </c>
      <c r="B33" s="1" t="s">
        <v>43</v>
      </c>
      <c r="D33" s="9">
        <f>+assessment!H33</f>
        <v>1.8723175338851182E-5</v>
      </c>
      <c r="F33" s="2">
        <f>+assessment!J33</f>
        <v>979.78846930542284</v>
      </c>
      <c r="H33" s="22">
        <v>-842.98551178035859</v>
      </c>
      <c r="J33" s="4">
        <f t="shared" si="4"/>
        <v>136.80295752506424</v>
      </c>
      <c r="K33" s="22">
        <v>0</v>
      </c>
      <c r="L33" s="22">
        <f t="shared" si="1"/>
        <v>-842.98551178035859</v>
      </c>
      <c r="M33" s="66">
        <v>0</v>
      </c>
      <c r="N33" s="67">
        <v>0</v>
      </c>
      <c r="O33" s="51">
        <v>225</v>
      </c>
      <c r="P33" s="51">
        <f t="shared" si="3"/>
        <v>0</v>
      </c>
      <c r="Q33" s="53">
        <f t="shared" si="2"/>
        <v>136.80295752506424</v>
      </c>
    </row>
    <row r="34" spans="1:18">
      <c r="A34" s="1" t="s">
        <v>44</v>
      </c>
      <c r="B34" s="1" t="s">
        <v>45</v>
      </c>
      <c r="D34" s="9">
        <f>+assessment!H34</f>
        <v>1.4378025116300414E-5</v>
      </c>
      <c r="F34" s="2">
        <f>+assessment!J34</f>
        <v>752.40566652725067</v>
      </c>
      <c r="H34" s="22">
        <v>-647.34685332962295</v>
      </c>
      <c r="J34" s="4">
        <f t="shared" si="4"/>
        <v>105.05881319762773</v>
      </c>
      <c r="K34" s="22">
        <v>-225</v>
      </c>
      <c r="L34" s="22">
        <f t="shared" si="1"/>
        <v>-872.34685332962295</v>
      </c>
      <c r="M34" s="66">
        <v>1</v>
      </c>
      <c r="N34" s="67">
        <v>0</v>
      </c>
      <c r="O34" s="51">
        <v>225</v>
      </c>
      <c r="P34" s="51">
        <f t="shared" si="3"/>
        <v>0</v>
      </c>
      <c r="Q34" s="53">
        <f t="shared" si="2"/>
        <v>105.05881319762773</v>
      </c>
    </row>
    <row r="35" spans="1:18">
      <c r="A35" s="1" t="s">
        <v>46</v>
      </c>
      <c r="B35" s="1" t="s">
        <v>47</v>
      </c>
      <c r="D35" s="9">
        <f>+assessment!H35</f>
        <v>4.6752823677003016E-4</v>
      </c>
      <c r="F35" s="2">
        <f>+assessment!J35</f>
        <v>24465.870087294603</v>
      </c>
      <c r="H35" s="22">
        <v>-21049.950881271194</v>
      </c>
      <c r="J35" s="4">
        <f t="shared" si="4"/>
        <v>3415.9192060234091</v>
      </c>
      <c r="K35" s="22">
        <v>-225</v>
      </c>
      <c r="L35" s="22">
        <f t="shared" si="1"/>
        <v>-21274.950881271194</v>
      </c>
      <c r="M35" s="66">
        <v>1</v>
      </c>
      <c r="N35" s="67">
        <v>0</v>
      </c>
      <c r="O35" s="51">
        <v>225</v>
      </c>
      <c r="P35" s="51">
        <f t="shared" si="3"/>
        <v>0</v>
      </c>
      <c r="Q35" s="53">
        <f t="shared" si="2"/>
        <v>3415.9192060234091</v>
      </c>
    </row>
    <row r="36" spans="1:18">
      <c r="A36" s="1" t="s">
        <v>48</v>
      </c>
      <c r="B36" s="1" t="s">
        <v>49</v>
      </c>
      <c r="D36" s="9">
        <f>+assessment!H36</f>
        <v>7.0691337206650433E-3</v>
      </c>
      <c r="F36" s="2">
        <f>+assessment!J36</f>
        <v>369929.54358086636</v>
      </c>
      <c r="H36" s="22">
        <v>-318273.91623692156</v>
      </c>
      <c r="J36" s="4">
        <f t="shared" si="4"/>
        <v>51655.627343944798</v>
      </c>
      <c r="K36" s="22">
        <v>-225</v>
      </c>
      <c r="L36" s="22">
        <f t="shared" si="1"/>
        <v>-318498.91623692156</v>
      </c>
      <c r="M36" s="66">
        <v>1</v>
      </c>
      <c r="N36" s="67">
        <v>0</v>
      </c>
      <c r="O36" s="51">
        <v>225</v>
      </c>
      <c r="P36" s="51">
        <f t="shared" si="3"/>
        <v>0</v>
      </c>
      <c r="Q36" s="53">
        <f t="shared" si="2"/>
        <v>51655.627343944798</v>
      </c>
      <c r="R36" s="18"/>
    </row>
    <row r="37" spans="1:18">
      <c r="A37" s="1" t="s">
        <v>50</v>
      </c>
      <c r="B37" s="1" t="s">
        <v>485</v>
      </c>
      <c r="D37" s="9">
        <f>+assessment!H37</f>
        <v>1.8534514117036385E-3</v>
      </c>
      <c r="F37" s="2">
        <f>+assessment!J37</f>
        <v>96991.578017049571</v>
      </c>
      <c r="H37" s="22">
        <v>-83446.226973116631</v>
      </c>
      <c r="J37" s="4">
        <f t="shared" si="4"/>
        <v>13545.35104393294</v>
      </c>
      <c r="K37" s="22">
        <v>-225</v>
      </c>
      <c r="L37" s="22">
        <f t="shared" si="1"/>
        <v>-83671.226973116631</v>
      </c>
      <c r="M37" s="66">
        <v>1</v>
      </c>
      <c r="N37" s="67">
        <v>0</v>
      </c>
      <c r="O37" s="51">
        <v>225</v>
      </c>
      <c r="P37" s="51">
        <f t="shared" si="3"/>
        <v>0</v>
      </c>
      <c r="Q37" s="53">
        <f t="shared" si="2"/>
        <v>13545.35104393294</v>
      </c>
    </row>
    <row r="38" spans="1:18">
      <c r="A38" s="1" t="s">
        <v>51</v>
      </c>
      <c r="B38" s="1" t="s">
        <v>52</v>
      </c>
      <c r="D38" s="9">
        <f>+assessment!H38</f>
        <v>5.390741163645742E-3</v>
      </c>
      <c r="F38" s="2">
        <f>+assessment!J38</f>
        <v>282098.83940948424</v>
      </c>
      <c r="H38" s="22">
        <v>-242707.50633404637</v>
      </c>
      <c r="J38" s="4">
        <f t="shared" si="4"/>
        <v>39391.333075437869</v>
      </c>
      <c r="K38" s="22">
        <v>-225</v>
      </c>
      <c r="L38" s="22">
        <f t="shared" si="1"/>
        <v>-242932.50633404637</v>
      </c>
      <c r="M38" s="66">
        <v>1</v>
      </c>
      <c r="N38" s="67">
        <v>0</v>
      </c>
      <c r="O38" s="51">
        <v>225</v>
      </c>
      <c r="P38" s="51">
        <f t="shared" si="3"/>
        <v>0</v>
      </c>
      <c r="Q38" s="53">
        <f t="shared" si="2"/>
        <v>39391.333075437869</v>
      </c>
    </row>
    <row r="39" spans="1:18">
      <c r="A39" s="1" t="s">
        <v>53</v>
      </c>
      <c r="B39" s="1" t="s">
        <v>54</v>
      </c>
      <c r="D39" s="9">
        <f>+assessment!H39</f>
        <v>1.3718495521703406E-3</v>
      </c>
      <c r="F39" s="2">
        <f>+assessment!J39</f>
        <v>71789.231714836918</v>
      </c>
      <c r="H39" s="22">
        <v>-61766.142644905558</v>
      </c>
      <c r="J39" s="4">
        <f t="shared" si="4"/>
        <v>10023.08906993136</v>
      </c>
      <c r="K39" s="22">
        <v>-225</v>
      </c>
      <c r="L39" s="22">
        <f t="shared" si="1"/>
        <v>-61991.142644905558</v>
      </c>
      <c r="M39" s="66">
        <v>1</v>
      </c>
      <c r="N39" s="67">
        <v>0</v>
      </c>
      <c r="O39" s="51">
        <v>225</v>
      </c>
      <c r="P39" s="51">
        <f t="shared" si="3"/>
        <v>0</v>
      </c>
      <c r="Q39" s="53">
        <f t="shared" si="2"/>
        <v>10023.08906993136</v>
      </c>
    </row>
    <row r="40" spans="1:18">
      <c r="A40" s="1" t="s">
        <v>55</v>
      </c>
      <c r="B40" s="1" t="s">
        <v>56</v>
      </c>
      <c r="D40" s="9">
        <f>+assessment!H40</f>
        <v>2.6112980414094532E-4</v>
      </c>
      <c r="F40" s="2">
        <f>+assessment!J40</f>
        <v>13664.988254336364</v>
      </c>
      <c r="H40" s="22">
        <v>-11756.872461539941</v>
      </c>
      <c r="J40" s="4">
        <f t="shared" si="4"/>
        <v>1908.1157927964232</v>
      </c>
      <c r="K40" s="22">
        <v>-450</v>
      </c>
      <c r="L40" s="22">
        <f t="shared" si="1"/>
        <v>-12206.872461539941</v>
      </c>
      <c r="M40" s="66">
        <v>2</v>
      </c>
      <c r="N40" s="67">
        <v>0</v>
      </c>
      <c r="O40" s="51">
        <v>225</v>
      </c>
      <c r="P40" s="51">
        <f t="shared" si="3"/>
        <v>0</v>
      </c>
      <c r="Q40" s="53">
        <f t="shared" si="2"/>
        <v>1908.1157927964232</v>
      </c>
    </row>
    <row r="41" spans="1:18">
      <c r="A41" s="1" t="s">
        <v>57</v>
      </c>
      <c r="B41" s="1" t="s">
        <v>58</v>
      </c>
      <c r="D41" s="9">
        <f>+assessment!H41</f>
        <v>3.714942956282132E-4</v>
      </c>
      <c r="F41" s="2">
        <f>+assessment!J41</f>
        <v>19440.389820736287</v>
      </c>
      <c r="H41" s="22">
        <v>-16725.785969481185</v>
      </c>
      <c r="J41" s="4">
        <f t="shared" si="4"/>
        <v>2714.6038512551022</v>
      </c>
      <c r="K41" s="22">
        <v>-450</v>
      </c>
      <c r="L41" s="22">
        <f t="shared" si="1"/>
        <v>-17175.785969481185</v>
      </c>
      <c r="M41" s="66">
        <v>2</v>
      </c>
      <c r="N41" s="67">
        <v>0</v>
      </c>
      <c r="O41" s="51">
        <v>225</v>
      </c>
      <c r="P41" s="51">
        <f t="shared" si="3"/>
        <v>0</v>
      </c>
      <c r="Q41" s="53">
        <f t="shared" si="2"/>
        <v>2714.6038512551022</v>
      </c>
    </row>
    <row r="42" spans="1:18">
      <c r="A42" s="1" t="s">
        <v>59</v>
      </c>
      <c r="B42" s="1" t="s">
        <v>60</v>
      </c>
      <c r="D42" s="9">
        <f>+assessment!H42</f>
        <v>3.2723061308467832E-4</v>
      </c>
      <c r="F42" s="2">
        <f>+assessment!J42</f>
        <v>17124.060192868143</v>
      </c>
      <c r="H42" s="22">
        <v>-14733.17354632726</v>
      </c>
      <c r="J42" s="4">
        <f t="shared" si="4"/>
        <v>2390.8866465408828</v>
      </c>
      <c r="K42" s="22">
        <v>-225</v>
      </c>
      <c r="L42" s="22">
        <f t="shared" si="1"/>
        <v>-14958.17354632726</v>
      </c>
      <c r="M42" s="66">
        <v>1</v>
      </c>
      <c r="N42" s="67">
        <v>0</v>
      </c>
      <c r="O42" s="51">
        <v>225</v>
      </c>
      <c r="P42" s="51">
        <f t="shared" si="3"/>
        <v>0</v>
      </c>
      <c r="Q42" s="53">
        <f t="shared" si="2"/>
        <v>2390.8866465408828</v>
      </c>
    </row>
    <row r="43" spans="1:18">
      <c r="A43" s="1" t="s">
        <v>61</v>
      </c>
      <c r="B43" s="1" t="s">
        <v>517</v>
      </c>
      <c r="D43" s="9">
        <f>+assessment!H43</f>
        <v>1.2398530489449999E-4</v>
      </c>
      <c r="F43" s="2">
        <f>+assessment!J43</f>
        <v>6488.1821539573339</v>
      </c>
      <c r="H43" s="22">
        <v>-5582.2816692896304</v>
      </c>
      <c r="J43" s="4">
        <f t="shared" si="4"/>
        <v>905.90048466770349</v>
      </c>
      <c r="K43" s="22">
        <v>-225</v>
      </c>
      <c r="L43" s="22">
        <f t="shared" si="1"/>
        <v>-5807.2816692896304</v>
      </c>
      <c r="M43" s="66">
        <v>1</v>
      </c>
      <c r="N43" s="67">
        <v>0</v>
      </c>
      <c r="O43" s="51">
        <v>225</v>
      </c>
      <c r="P43" s="51">
        <f t="shared" si="3"/>
        <v>0</v>
      </c>
      <c r="Q43" s="53">
        <f t="shared" si="2"/>
        <v>905.90048466770349</v>
      </c>
    </row>
    <row r="44" spans="1:18">
      <c r="A44" s="1" t="s">
        <v>62</v>
      </c>
      <c r="B44" s="1" t="s">
        <v>63</v>
      </c>
      <c r="D44" s="9">
        <f>+assessment!H44</f>
        <v>4.0533701572032638E-4</v>
      </c>
      <c r="F44" s="2">
        <f>+assessment!J44</f>
        <v>21211.387865463141</v>
      </c>
      <c r="H44" s="22">
        <v>-18249.931752183478</v>
      </c>
      <c r="J44" s="4">
        <f t="shared" si="4"/>
        <v>2961.4561132796625</v>
      </c>
      <c r="K44" s="22">
        <v>-450</v>
      </c>
      <c r="L44" s="22">
        <f t="shared" si="1"/>
        <v>-18699.931752183478</v>
      </c>
      <c r="M44" s="66">
        <v>2</v>
      </c>
      <c r="N44" s="67">
        <v>0</v>
      </c>
      <c r="O44" s="51">
        <v>225</v>
      </c>
      <c r="P44" s="51">
        <f t="shared" si="3"/>
        <v>0</v>
      </c>
      <c r="Q44" s="53">
        <f t="shared" si="2"/>
        <v>2961.4561132796625</v>
      </c>
    </row>
    <row r="45" spans="1:18">
      <c r="A45" s="1" t="s">
        <v>64</v>
      </c>
      <c r="B45" s="1" t="s">
        <v>518</v>
      </c>
      <c r="D45" s="9">
        <f>+assessment!H45</f>
        <v>1.0406465342432782E-2</v>
      </c>
      <c r="F45" s="2">
        <f>+assessment!J45</f>
        <v>544572.94578579545</v>
      </c>
      <c r="H45" s="22">
        <v>-468523.09871591104</v>
      </c>
      <c r="J45" s="4">
        <f t="shared" si="4"/>
        <v>76049.847069884418</v>
      </c>
      <c r="K45" s="22">
        <v>-900</v>
      </c>
      <c r="L45" s="22">
        <f t="shared" si="1"/>
        <v>-469423.09871591104</v>
      </c>
      <c r="M45" s="66">
        <v>4</v>
      </c>
      <c r="N45" s="67">
        <v>0</v>
      </c>
      <c r="O45" s="51">
        <v>225</v>
      </c>
      <c r="P45" s="51">
        <f t="shared" si="3"/>
        <v>0</v>
      </c>
      <c r="Q45" s="53">
        <f t="shared" si="2"/>
        <v>76049.847069884418</v>
      </c>
    </row>
    <row r="46" spans="1:18">
      <c r="A46" s="1" t="s">
        <v>538</v>
      </c>
      <c r="B46" s="1" t="s">
        <v>539</v>
      </c>
      <c r="D46" s="9">
        <f>+assessment!H46</f>
        <v>1.1126168132092709E-5</v>
      </c>
      <c r="F46" s="2">
        <f>+assessment!J46</f>
        <v>582.23517357963135</v>
      </c>
      <c r="H46" s="22">
        <v>-500.9371606739976</v>
      </c>
      <c r="J46" s="4">
        <f t="shared" si="4"/>
        <v>81.298012905633755</v>
      </c>
      <c r="K46" s="22">
        <v>0</v>
      </c>
      <c r="L46" s="22">
        <f t="shared" si="1"/>
        <v>-500.9371606739976</v>
      </c>
      <c r="M46" s="66">
        <v>0</v>
      </c>
      <c r="N46" s="67">
        <v>0</v>
      </c>
      <c r="O46" s="51">
        <v>225</v>
      </c>
      <c r="P46" s="51">
        <f t="shared" si="3"/>
        <v>0</v>
      </c>
      <c r="Q46" s="53">
        <f t="shared" si="2"/>
        <v>81.298012905633755</v>
      </c>
    </row>
    <row r="47" spans="1:18">
      <c r="A47" s="1" t="s">
        <v>65</v>
      </c>
      <c r="B47" s="1" t="s">
        <v>66</v>
      </c>
      <c r="D47" s="9">
        <f>+assessment!H47</f>
        <v>2.2570633138283222E-4</v>
      </c>
      <c r="F47" s="2">
        <f>+assessment!J47</f>
        <v>11811.269025465244</v>
      </c>
      <c r="H47" s="22">
        <v>-10162.102441223014</v>
      </c>
      <c r="J47" s="4">
        <f t="shared" si="4"/>
        <v>1649.1665842422299</v>
      </c>
      <c r="K47" s="22">
        <v>-225</v>
      </c>
      <c r="L47" s="22">
        <f t="shared" si="1"/>
        <v>-10387.102441223014</v>
      </c>
      <c r="M47" s="66">
        <v>1</v>
      </c>
      <c r="N47" s="67">
        <v>0</v>
      </c>
      <c r="O47" s="51">
        <v>225</v>
      </c>
      <c r="P47" s="51">
        <f t="shared" si="3"/>
        <v>0</v>
      </c>
      <c r="Q47" s="53">
        <f t="shared" si="2"/>
        <v>1649.1665842422299</v>
      </c>
    </row>
    <row r="48" spans="1:18">
      <c r="A48" s="1" t="s">
        <v>67</v>
      </c>
      <c r="B48" s="1" t="s">
        <v>68</v>
      </c>
      <c r="D48" s="9">
        <f>+assessment!H48</f>
        <v>6.4922409911843959E-4</v>
      </c>
      <c r="F48" s="2">
        <f>+assessment!J48</f>
        <v>33974.060211438366</v>
      </c>
      <c r="H48" s="22">
        <v>-29230.298682166071</v>
      </c>
      <c r="J48" s="4">
        <f t="shared" si="4"/>
        <v>4743.7615292722949</v>
      </c>
      <c r="K48" s="22">
        <v>0</v>
      </c>
      <c r="L48" s="22">
        <f t="shared" si="1"/>
        <v>-29230.298682166071</v>
      </c>
      <c r="M48" s="66">
        <v>0</v>
      </c>
      <c r="N48" s="67">
        <v>0</v>
      </c>
      <c r="O48" s="51">
        <v>225</v>
      </c>
      <c r="P48" s="51">
        <f t="shared" si="3"/>
        <v>0</v>
      </c>
      <c r="Q48" s="53">
        <f t="shared" si="2"/>
        <v>4743.7615292722949</v>
      </c>
    </row>
    <row r="49" spans="1:18">
      <c r="A49" s="1" t="s">
        <v>69</v>
      </c>
      <c r="B49" s="1" t="s">
        <v>70</v>
      </c>
      <c r="D49" s="9">
        <f>+assessment!H49</f>
        <v>1.8131367258322203E-5</v>
      </c>
      <c r="F49" s="2">
        <f>+assessment!J49</f>
        <v>948.81900377139732</v>
      </c>
      <c r="H49" s="22">
        <v>-816.34664820418334</v>
      </c>
      <c r="J49" s="4">
        <f t="shared" si="4"/>
        <v>132.47235556721398</v>
      </c>
      <c r="K49" s="22">
        <v>-225</v>
      </c>
      <c r="L49" s="22">
        <f t="shared" si="1"/>
        <v>-1041.3466482041833</v>
      </c>
      <c r="M49" s="66">
        <v>1</v>
      </c>
      <c r="N49" s="67">
        <v>0</v>
      </c>
      <c r="O49" s="51">
        <v>225</v>
      </c>
      <c r="P49" s="51">
        <f t="shared" si="3"/>
        <v>0</v>
      </c>
      <c r="Q49" s="53">
        <f t="shared" si="2"/>
        <v>132.47235556721398</v>
      </c>
    </row>
    <row r="50" spans="1:18">
      <c r="A50" s="1" t="s">
        <v>71</v>
      </c>
      <c r="B50" s="1" t="s">
        <v>72</v>
      </c>
      <c r="D50" s="9">
        <f>+assessment!H50</f>
        <v>2.5327437555718454E-5</v>
      </c>
      <c r="F50" s="2">
        <f>+assessment!J50</f>
        <v>1325.3911703028839</v>
      </c>
      <c r="H50" s="22">
        <v>-1140.3465759494964</v>
      </c>
      <c r="J50" s="4">
        <f t="shared" si="4"/>
        <v>185.04459435338754</v>
      </c>
      <c r="K50" s="22">
        <v>0</v>
      </c>
      <c r="L50" s="22">
        <f t="shared" si="1"/>
        <v>-1140.3465759494964</v>
      </c>
      <c r="M50" s="66">
        <v>0</v>
      </c>
      <c r="N50" s="67">
        <v>0</v>
      </c>
      <c r="O50" s="51">
        <v>225</v>
      </c>
      <c r="P50" s="51">
        <f>O50*N50</f>
        <v>0</v>
      </c>
      <c r="Q50" s="53">
        <f t="shared" si="2"/>
        <v>185.04459435338754</v>
      </c>
    </row>
    <row r="51" spans="1:18">
      <c r="A51" s="1" t="s">
        <v>73</v>
      </c>
      <c r="B51" s="1" t="s">
        <v>74</v>
      </c>
      <c r="D51" s="9">
        <f>+assessment!H51</f>
        <v>1.5605805764155973E-5</v>
      </c>
      <c r="F51" s="2">
        <f>+assessment!J51</f>
        <v>816.65573628486425</v>
      </c>
      <c r="H51" s="22">
        <v>-702.63059027381451</v>
      </c>
      <c r="J51" s="4">
        <f t="shared" si="4"/>
        <v>114.02514601104974</v>
      </c>
      <c r="K51" s="22">
        <v>0</v>
      </c>
      <c r="L51" s="22">
        <f t="shared" si="1"/>
        <v>-702.63059027381451</v>
      </c>
      <c r="M51" s="66">
        <v>0</v>
      </c>
      <c r="N51" s="67">
        <v>0</v>
      </c>
      <c r="O51" s="51">
        <v>225</v>
      </c>
      <c r="P51" s="51">
        <f t="shared" si="3"/>
        <v>0</v>
      </c>
      <c r="Q51" s="53">
        <f t="shared" si="2"/>
        <v>114.02514601104974</v>
      </c>
    </row>
    <row r="52" spans="1:18">
      <c r="A52" s="1" t="s">
        <v>75</v>
      </c>
      <c r="B52" s="1" t="s">
        <v>76</v>
      </c>
      <c r="D52" s="9">
        <f>+assessment!H52</f>
        <v>4.0253351640841685E-5</v>
      </c>
      <c r="F52" s="2">
        <f>+assessment!J52</f>
        <v>2106.4680042147784</v>
      </c>
      <c r="H52" s="22">
        <v>-1812.356284810221</v>
      </c>
      <c r="J52" s="4">
        <f t="shared" si="4"/>
        <v>294.11171940455733</v>
      </c>
      <c r="K52" s="22">
        <v>0</v>
      </c>
      <c r="L52" s="22">
        <f t="shared" si="1"/>
        <v>-1812.356284810221</v>
      </c>
      <c r="M52" s="66">
        <v>0</v>
      </c>
      <c r="N52" s="67">
        <v>0</v>
      </c>
      <c r="O52" s="51">
        <v>225</v>
      </c>
      <c r="P52" s="51">
        <f t="shared" si="3"/>
        <v>0</v>
      </c>
      <c r="Q52" s="53">
        <f t="shared" si="2"/>
        <v>294.11171940455733</v>
      </c>
    </row>
    <row r="53" spans="1:18">
      <c r="A53" s="1" t="s">
        <v>77</v>
      </c>
      <c r="B53" s="1" t="s">
        <v>78</v>
      </c>
      <c r="D53" s="9">
        <f>+assessment!H53</f>
        <v>1.6376742283540837E-5</v>
      </c>
      <c r="F53" s="2">
        <f>+assessment!J53</f>
        <v>856.99903802665597</v>
      </c>
      <c r="H53" s="22">
        <v>-737.34517966664566</v>
      </c>
      <c r="J53" s="4">
        <f t="shared" si="4"/>
        <v>119.6538583600103</v>
      </c>
      <c r="K53" s="22">
        <v>0</v>
      </c>
      <c r="L53" s="22">
        <f t="shared" si="1"/>
        <v>-737.34517966664566</v>
      </c>
      <c r="M53" s="66">
        <v>0</v>
      </c>
      <c r="N53" s="67">
        <v>0</v>
      </c>
      <c r="O53" s="51">
        <v>225</v>
      </c>
      <c r="P53" s="51">
        <f t="shared" si="3"/>
        <v>0</v>
      </c>
      <c r="Q53" s="53">
        <f t="shared" si="2"/>
        <v>119.6538583600103</v>
      </c>
    </row>
    <row r="54" spans="1:18">
      <c r="A54" s="1" t="s">
        <v>79</v>
      </c>
      <c r="B54" s="1" t="s">
        <v>80</v>
      </c>
      <c r="D54" s="9">
        <f>+assessment!H54</f>
        <v>1.91588999337667E-4</v>
      </c>
      <c r="F54" s="2">
        <f>+assessment!J54</f>
        <v>10025.900468244419</v>
      </c>
      <c r="H54" s="22">
        <v>-8626.0589600566091</v>
      </c>
      <c r="J54" s="4">
        <f t="shared" si="4"/>
        <v>1399.8415081878102</v>
      </c>
      <c r="K54" s="22">
        <v>0</v>
      </c>
      <c r="L54" s="22">
        <f t="shared" si="1"/>
        <v>-8626.0589600566091</v>
      </c>
      <c r="M54" s="66">
        <v>0</v>
      </c>
      <c r="N54" s="67">
        <v>0</v>
      </c>
      <c r="O54" s="51">
        <v>225</v>
      </c>
      <c r="P54" s="51">
        <f t="shared" si="3"/>
        <v>0</v>
      </c>
      <c r="Q54" s="53">
        <f t="shared" si="2"/>
        <v>1399.8415081878102</v>
      </c>
    </row>
    <row r="55" spans="1:18">
      <c r="A55" s="1" t="s">
        <v>81</v>
      </c>
      <c r="B55" s="1" t="s">
        <v>82</v>
      </c>
      <c r="D55" s="9">
        <f>+assessment!H55</f>
        <v>1.1893364842459066E-5</v>
      </c>
      <c r="F55" s="2">
        <f>+assessment!J55</f>
        <v>622.38277017593236</v>
      </c>
      <c r="H55" s="22">
        <v>-535.48318942040612</v>
      </c>
      <c r="J55" s="4">
        <f t="shared" si="4"/>
        <v>86.899580755526245</v>
      </c>
      <c r="K55" s="22">
        <v>0</v>
      </c>
      <c r="L55" s="22">
        <f t="shared" si="1"/>
        <v>-535.48318942040612</v>
      </c>
      <c r="M55" s="66">
        <v>0</v>
      </c>
      <c r="N55" s="67">
        <v>0</v>
      </c>
      <c r="O55" s="51">
        <v>225</v>
      </c>
      <c r="P55" s="51">
        <f t="shared" si="3"/>
        <v>0</v>
      </c>
      <c r="Q55" s="53">
        <f t="shared" si="2"/>
        <v>86.899580755526245</v>
      </c>
    </row>
    <row r="56" spans="1:18">
      <c r="A56" s="1" t="s">
        <v>83</v>
      </c>
      <c r="B56" s="11" t="s">
        <v>542</v>
      </c>
      <c r="D56" s="9">
        <f>+assessment!H56</f>
        <v>1.5854333921782586E-2</v>
      </c>
      <c r="F56" s="2">
        <f>+assessment!J56</f>
        <v>829661.27721119393</v>
      </c>
      <c r="H56" s="22">
        <v>-713816.85873851809</v>
      </c>
      <c r="J56" s="4">
        <f t="shared" si="4"/>
        <v>115844.41847267584</v>
      </c>
      <c r="K56" s="22">
        <v>-450</v>
      </c>
      <c r="L56" s="22">
        <f t="shared" si="1"/>
        <v>-714266.85873851809</v>
      </c>
      <c r="M56" s="66">
        <v>2</v>
      </c>
      <c r="N56" s="67">
        <v>0</v>
      </c>
      <c r="O56" s="51">
        <v>225</v>
      </c>
      <c r="P56" s="51">
        <f t="shared" si="3"/>
        <v>0</v>
      </c>
      <c r="Q56" s="53">
        <f t="shared" si="2"/>
        <v>115844.41847267584</v>
      </c>
      <c r="R56" s="18"/>
    </row>
    <row r="57" spans="1:18">
      <c r="A57" s="1" t="s">
        <v>84</v>
      </c>
      <c r="B57" s="1" t="s">
        <v>85</v>
      </c>
      <c r="D57" s="9">
        <f>+assessment!H57</f>
        <v>7.7294047574872531E-4</v>
      </c>
      <c r="F57" s="2">
        <f>+assessment!J57</f>
        <v>40448.169281766524</v>
      </c>
      <c r="H57" s="22">
        <v>-34799.820165003388</v>
      </c>
      <c r="J57" s="4">
        <f t="shared" si="4"/>
        <v>5648.3491167631364</v>
      </c>
      <c r="K57" s="22">
        <v>-675</v>
      </c>
      <c r="L57" s="22">
        <f t="shared" si="1"/>
        <v>-35474.820165003388</v>
      </c>
      <c r="M57" s="66">
        <v>3</v>
      </c>
      <c r="N57" s="67">
        <v>0</v>
      </c>
      <c r="O57" s="51">
        <v>225</v>
      </c>
      <c r="P57" s="51">
        <f t="shared" si="3"/>
        <v>0</v>
      </c>
      <c r="Q57" s="53">
        <f t="shared" si="2"/>
        <v>5648.3491167631364</v>
      </c>
    </row>
    <row r="58" spans="1:18">
      <c r="A58" s="1" t="s">
        <v>86</v>
      </c>
      <c r="B58" s="1" t="s">
        <v>87</v>
      </c>
      <c r="D58" s="9">
        <f>+assessment!H58</f>
        <v>7.081602910257434E-2</v>
      </c>
      <c r="F58" s="2">
        <f>+assessment!J58</f>
        <v>3705820.5940487068</v>
      </c>
      <c r="H58" s="22">
        <v>-3188289.6503985226</v>
      </c>
      <c r="J58" s="4">
        <f t="shared" si="4"/>
        <v>517530.9436501842</v>
      </c>
      <c r="K58" s="22">
        <v>-1350</v>
      </c>
      <c r="L58" s="22">
        <f t="shared" si="1"/>
        <v>-3189639.6503985226</v>
      </c>
      <c r="M58" s="66">
        <v>6</v>
      </c>
      <c r="N58" s="67">
        <v>0</v>
      </c>
      <c r="O58" s="51">
        <v>225</v>
      </c>
      <c r="P58" s="51">
        <f t="shared" si="3"/>
        <v>0</v>
      </c>
      <c r="Q58" s="53">
        <f t="shared" si="2"/>
        <v>517530.9436501842</v>
      </c>
    </row>
    <row r="59" spans="1:18">
      <c r="A59" s="1" t="s">
        <v>88</v>
      </c>
      <c r="B59" s="11" t="s">
        <v>545</v>
      </c>
      <c r="D59" s="9">
        <f>+assessment!H59</f>
        <v>9.8772877342676125E-5</v>
      </c>
      <c r="F59" s="2">
        <f>+assessment!J59</f>
        <v>5168.8094860522169</v>
      </c>
      <c r="H59" s="22">
        <v>-4447.1047114851126</v>
      </c>
      <c r="J59" s="4">
        <f t="shared" si="4"/>
        <v>721.70477456710432</v>
      </c>
      <c r="K59" s="22">
        <v>0</v>
      </c>
      <c r="L59" s="22">
        <f t="shared" si="1"/>
        <v>-4447.1047114851126</v>
      </c>
      <c r="M59" s="66">
        <v>0</v>
      </c>
      <c r="N59" s="67">
        <v>0</v>
      </c>
      <c r="O59" s="51">
        <v>225</v>
      </c>
      <c r="P59" s="51">
        <f t="shared" si="3"/>
        <v>0</v>
      </c>
      <c r="Q59" s="53">
        <f t="shared" si="2"/>
        <v>721.70477456710432</v>
      </c>
    </row>
    <row r="60" spans="1:18">
      <c r="A60" s="1" t="s">
        <v>89</v>
      </c>
      <c r="B60" s="1" t="s">
        <v>90</v>
      </c>
      <c r="D60" s="9">
        <f>+assessment!H60</f>
        <v>3.2529937646223726E-5</v>
      </c>
      <c r="F60" s="2">
        <f>+assessment!J60</f>
        <v>1702.2998095231226</v>
      </c>
      <c r="H60" s="22">
        <v>-1464.6089694594214</v>
      </c>
      <c r="J60" s="4">
        <f t="shared" si="4"/>
        <v>237.69084006370122</v>
      </c>
      <c r="K60" s="22">
        <v>0</v>
      </c>
      <c r="L60" s="22">
        <f t="shared" si="1"/>
        <v>-1464.6089694594214</v>
      </c>
      <c r="M60" s="66">
        <v>0</v>
      </c>
      <c r="N60" s="67">
        <v>0</v>
      </c>
      <c r="O60" s="51">
        <v>225</v>
      </c>
      <c r="P60" s="51">
        <f t="shared" si="3"/>
        <v>0</v>
      </c>
      <c r="Q60" s="53">
        <f t="shared" si="2"/>
        <v>237.69084006370122</v>
      </c>
    </row>
    <row r="61" spans="1:18">
      <c r="A61" s="1" t="s">
        <v>91</v>
      </c>
      <c r="B61" s="1" t="s">
        <v>92</v>
      </c>
      <c r="D61" s="9">
        <f>+assessment!H61</f>
        <v>5.2553292797359535E-5</v>
      </c>
      <c r="F61" s="2">
        <f>+assessment!J61</f>
        <v>2750.1270150495743</v>
      </c>
      <c r="H61" s="22">
        <v>-2366.1598703409063</v>
      </c>
      <c r="J61" s="4">
        <f t="shared" si="4"/>
        <v>383.967144708668</v>
      </c>
      <c r="K61" s="22">
        <v>-450</v>
      </c>
      <c r="L61" s="22">
        <f t="shared" si="1"/>
        <v>-2816.1598703409063</v>
      </c>
      <c r="M61" s="66">
        <v>2</v>
      </c>
      <c r="N61" s="67">
        <v>0</v>
      </c>
      <c r="O61" s="51">
        <v>225</v>
      </c>
      <c r="P61" s="51">
        <f t="shared" si="3"/>
        <v>0</v>
      </c>
      <c r="Q61" s="53">
        <f t="shared" si="2"/>
        <v>383.967144708668</v>
      </c>
    </row>
    <row r="62" spans="1:18">
      <c r="A62" s="1" t="s">
        <v>478</v>
      </c>
      <c r="B62" s="1" t="s">
        <v>479</v>
      </c>
      <c r="D62" s="9">
        <f>+assessment!H62</f>
        <v>1.845653476126865E-4</v>
      </c>
      <c r="F62" s="2">
        <f>+assessment!J62</f>
        <v>9658.3510089241663</v>
      </c>
      <c r="H62" s="22">
        <v>-8309.7369335473159</v>
      </c>
      <c r="J62" s="4">
        <f t="shared" si="4"/>
        <v>1348.6140753768505</v>
      </c>
      <c r="K62" s="22">
        <v>-450</v>
      </c>
      <c r="L62" s="22">
        <f t="shared" si="1"/>
        <v>-8759.7369335473159</v>
      </c>
      <c r="M62" s="66">
        <v>2</v>
      </c>
      <c r="N62" s="67">
        <v>0</v>
      </c>
      <c r="O62" s="51">
        <v>225</v>
      </c>
      <c r="P62" s="51">
        <f t="shared" si="3"/>
        <v>0</v>
      </c>
      <c r="Q62" s="53">
        <f t="shared" si="2"/>
        <v>1348.6140753768505</v>
      </c>
    </row>
    <row r="63" spans="1:18">
      <c r="A63" s="1" t="s">
        <v>93</v>
      </c>
      <c r="B63" s="1" t="s">
        <v>480</v>
      </c>
      <c r="D63" s="9">
        <f>+assessment!H63</f>
        <v>9.7267399834276774E-5</v>
      </c>
      <c r="F63" s="2">
        <f>+assessment!J63</f>
        <v>5090.027469816564</v>
      </c>
      <c r="H63" s="22">
        <v>-4379.3517017153263</v>
      </c>
      <c r="J63" s="4">
        <f t="shared" si="4"/>
        <v>710.67576810123774</v>
      </c>
      <c r="K63" s="22">
        <v>-450</v>
      </c>
      <c r="L63" s="22">
        <f t="shared" si="1"/>
        <v>-4829.3517017153263</v>
      </c>
      <c r="M63" s="66">
        <v>2</v>
      </c>
      <c r="N63" s="67">
        <v>0</v>
      </c>
      <c r="O63" s="51">
        <v>225</v>
      </c>
      <c r="P63" s="51">
        <f t="shared" si="3"/>
        <v>0</v>
      </c>
      <c r="Q63" s="53">
        <f t="shared" si="2"/>
        <v>710.67576810123774</v>
      </c>
    </row>
    <row r="64" spans="1:18">
      <c r="A64" s="1" t="s">
        <v>94</v>
      </c>
      <c r="B64" s="1" t="s">
        <v>95</v>
      </c>
      <c r="D64" s="9">
        <f>+assessment!H64</f>
        <v>8.8500966828165156E-4</v>
      </c>
      <c r="F64" s="2">
        <f>+assessment!J64</f>
        <v>46312.778282157793</v>
      </c>
      <c r="H64" s="22">
        <v>-39844.847023102804</v>
      </c>
      <c r="J64" s="4">
        <f t="shared" si="4"/>
        <v>6467.9312590549889</v>
      </c>
      <c r="K64" s="22">
        <v>0</v>
      </c>
      <c r="L64" s="22">
        <f t="shared" si="1"/>
        <v>-39844.847023102804</v>
      </c>
      <c r="M64" s="66">
        <v>0</v>
      </c>
      <c r="N64" s="67">
        <v>0</v>
      </c>
      <c r="O64" s="51">
        <v>225</v>
      </c>
      <c r="P64" s="51">
        <f t="shared" si="3"/>
        <v>0</v>
      </c>
      <c r="Q64" s="53">
        <f t="shared" si="2"/>
        <v>6467.9312590549889</v>
      </c>
    </row>
    <row r="65" spans="1:17">
      <c r="A65" s="1" t="s">
        <v>96</v>
      </c>
      <c r="B65" s="1" t="s">
        <v>97</v>
      </c>
      <c r="D65" s="9">
        <f>+assessment!H65</f>
        <v>1.320050730953344E-3</v>
      </c>
      <c r="F65" s="2">
        <f>+assessment!J65</f>
        <v>69078.586387133633</v>
      </c>
      <c r="H65" s="22">
        <v>-59433.436181412108</v>
      </c>
      <c r="J65" s="4">
        <f t="shared" si="4"/>
        <v>9645.1502057215257</v>
      </c>
      <c r="K65" s="22">
        <v>-675</v>
      </c>
      <c r="L65" s="22">
        <f t="shared" si="1"/>
        <v>-60108.436181412108</v>
      </c>
      <c r="M65" s="66">
        <v>3</v>
      </c>
      <c r="N65" s="67">
        <v>-2</v>
      </c>
      <c r="O65" s="51">
        <v>225</v>
      </c>
      <c r="P65" s="51">
        <f t="shared" si="3"/>
        <v>-450</v>
      </c>
      <c r="Q65" s="53">
        <f t="shared" si="2"/>
        <v>9195.1502057215257</v>
      </c>
    </row>
    <row r="66" spans="1:17">
      <c r="A66" s="1" t="s">
        <v>98</v>
      </c>
      <c r="B66" s="1" t="s">
        <v>99</v>
      </c>
      <c r="D66" s="9">
        <f>+assessment!H66</f>
        <v>3.0874388625192284E-3</v>
      </c>
      <c r="F66" s="2">
        <f>+assessment!J66</f>
        <v>161566.45133289666</v>
      </c>
      <c r="H66" s="22">
        <v>-139004.07790580223</v>
      </c>
      <c r="J66" s="4">
        <f t="shared" si="4"/>
        <v>22562.373427094426</v>
      </c>
      <c r="K66" s="22">
        <v>-675</v>
      </c>
      <c r="L66" s="22">
        <f t="shared" si="1"/>
        <v>-139679.07790580223</v>
      </c>
      <c r="M66" s="66">
        <v>3</v>
      </c>
      <c r="N66" s="67">
        <v>0</v>
      </c>
      <c r="O66" s="51">
        <v>225</v>
      </c>
      <c r="P66" s="51">
        <f t="shared" si="3"/>
        <v>0</v>
      </c>
      <c r="Q66" s="53">
        <f t="shared" si="2"/>
        <v>22562.373427094426</v>
      </c>
    </row>
    <row r="67" spans="1:17">
      <c r="A67" s="1" t="s">
        <v>100</v>
      </c>
      <c r="B67" s="1" t="s">
        <v>519</v>
      </c>
      <c r="D67" s="9">
        <f>+assessment!H67</f>
        <v>1.6474854102020561E-3</v>
      </c>
      <c r="F67" s="2">
        <f>+assessment!J67</f>
        <v>86213.325413633211</v>
      </c>
      <c r="H67" s="22">
        <v>-74175.437593692899</v>
      </c>
      <c r="J67" s="4">
        <f t="shared" si="4"/>
        <v>12037.887819940312</v>
      </c>
      <c r="K67" s="22">
        <v>-900</v>
      </c>
      <c r="L67" s="22">
        <f t="shared" si="1"/>
        <v>-75075.437593692899</v>
      </c>
      <c r="M67" s="66">
        <v>4</v>
      </c>
      <c r="N67" s="67">
        <v>0</v>
      </c>
      <c r="O67" s="51">
        <v>225</v>
      </c>
      <c r="P67" s="51">
        <f t="shared" si="3"/>
        <v>0</v>
      </c>
      <c r="Q67" s="53">
        <f t="shared" si="2"/>
        <v>12037.887819940312</v>
      </c>
    </row>
    <row r="68" spans="1:17">
      <c r="A68" s="1" t="s">
        <v>101</v>
      </c>
      <c r="B68" s="1" t="s">
        <v>102</v>
      </c>
      <c r="D68" s="9">
        <f>+assessment!H68</f>
        <v>4.6467282010730321E-5</v>
      </c>
      <c r="F68" s="2">
        <f>+assessment!J68</f>
        <v>2431.6445415967773</v>
      </c>
      <c r="H68" s="22">
        <v>-2092.1051608692287</v>
      </c>
      <c r="J68" s="4">
        <f t="shared" si="4"/>
        <v>339.53938072754863</v>
      </c>
      <c r="K68" s="22">
        <v>0</v>
      </c>
      <c r="L68" s="22">
        <f t="shared" si="1"/>
        <v>-2092.1051608692287</v>
      </c>
      <c r="M68" s="66">
        <v>0</v>
      </c>
      <c r="N68" s="67">
        <v>0</v>
      </c>
      <c r="O68" s="51">
        <v>225</v>
      </c>
      <c r="P68" s="51">
        <f t="shared" si="3"/>
        <v>0</v>
      </c>
      <c r="Q68" s="53">
        <f t="shared" si="2"/>
        <v>339.53938072754863</v>
      </c>
    </row>
    <row r="69" spans="1:17">
      <c r="A69" s="1" t="s">
        <v>103</v>
      </c>
      <c r="B69" s="1" t="s">
        <v>104</v>
      </c>
      <c r="D69" s="9">
        <f>+assessment!H69</f>
        <v>1.5628228915232667E-4</v>
      </c>
      <c r="F69" s="2">
        <f>+assessment!J69</f>
        <v>8178.291454140759</v>
      </c>
      <c r="H69" s="22">
        <v>-7036.1513687060178</v>
      </c>
      <c r="J69" s="4">
        <f t="shared" si="4"/>
        <v>1142.1400854347412</v>
      </c>
      <c r="K69" s="22">
        <v>0</v>
      </c>
      <c r="L69" s="22">
        <f t="shared" si="1"/>
        <v>-7036.1513687060178</v>
      </c>
      <c r="M69" s="66">
        <v>0</v>
      </c>
      <c r="N69" s="67">
        <v>0</v>
      </c>
      <c r="O69" s="51">
        <v>225</v>
      </c>
      <c r="P69" s="51">
        <f t="shared" si="3"/>
        <v>0</v>
      </c>
      <c r="Q69" s="53">
        <f t="shared" si="2"/>
        <v>1142.1400854347412</v>
      </c>
    </row>
    <row r="70" spans="1:17">
      <c r="A70" s="1" t="s">
        <v>105</v>
      </c>
      <c r="B70" s="1" t="s">
        <v>106</v>
      </c>
      <c r="D70" s="9">
        <f>+assessment!H70</f>
        <v>1.8228596958449587E-3</v>
      </c>
      <c r="F70" s="2">
        <f>+assessment!J70</f>
        <v>95390.705840608091</v>
      </c>
      <c r="H70" s="22">
        <v>-82070.146428776265</v>
      </c>
      <c r="J70" s="4">
        <f t="shared" si="4"/>
        <v>13320.559411831826</v>
      </c>
      <c r="K70" s="22">
        <v>-675</v>
      </c>
      <c r="L70" s="22">
        <f t="shared" ref="L70:L132" si="5">H70+K70</f>
        <v>-82745.146428776265</v>
      </c>
      <c r="M70" s="66">
        <v>3</v>
      </c>
      <c r="N70" s="67">
        <v>0</v>
      </c>
      <c r="O70" s="51">
        <v>225</v>
      </c>
      <c r="P70" s="51">
        <f t="shared" ref="P70:P90" si="6">O70*N70</f>
        <v>0</v>
      </c>
      <c r="Q70" s="53">
        <f t="shared" ref="Q70:Q132" si="7">P70+J70</f>
        <v>13320.559411831826</v>
      </c>
    </row>
    <row r="71" spans="1:17">
      <c r="A71" s="1" t="s">
        <v>107</v>
      </c>
      <c r="B71" s="1" t="s">
        <v>108</v>
      </c>
      <c r="D71" s="9">
        <f>+assessment!H71</f>
        <v>3.2415896928425514E-5</v>
      </c>
      <c r="F71" s="2">
        <f>+assessment!J71</f>
        <v>1696.3320301102926</v>
      </c>
      <c r="H71" s="22">
        <v>-1459.4925376008173</v>
      </c>
      <c r="J71" s="4">
        <f t="shared" si="4"/>
        <v>236.83949250947535</v>
      </c>
      <c r="K71" s="22">
        <v>0</v>
      </c>
      <c r="L71" s="22">
        <f t="shared" si="5"/>
        <v>-1459.4925376008173</v>
      </c>
      <c r="M71" s="66">
        <v>0</v>
      </c>
      <c r="N71" s="67">
        <v>0</v>
      </c>
      <c r="O71" s="51">
        <v>225</v>
      </c>
      <c r="P71" s="51">
        <f t="shared" si="6"/>
        <v>0</v>
      </c>
      <c r="Q71" s="53">
        <f t="shared" si="7"/>
        <v>236.83949250947535</v>
      </c>
    </row>
    <row r="72" spans="1:17">
      <c r="A72" s="1" t="s">
        <v>109</v>
      </c>
      <c r="B72" s="1" t="s">
        <v>556</v>
      </c>
      <c r="D72" s="9">
        <f>+assessment!H72</f>
        <v>5.1692648393095412E-5</v>
      </c>
      <c r="F72" s="2">
        <f>+assessment!J72</f>
        <v>2705.0892771547387</v>
      </c>
      <c r="H72" s="22">
        <v>-2327.3953225166779</v>
      </c>
      <c r="J72" s="4">
        <f t="shared" si="4"/>
        <v>377.69395463806086</v>
      </c>
      <c r="K72" s="22">
        <v>0</v>
      </c>
      <c r="L72" s="22">
        <f t="shared" si="5"/>
        <v>-2327.3953225166779</v>
      </c>
      <c r="M72" s="66">
        <v>0</v>
      </c>
      <c r="N72" s="67">
        <v>0</v>
      </c>
      <c r="O72" s="51">
        <v>225</v>
      </c>
      <c r="P72" s="51">
        <f t="shared" si="6"/>
        <v>0</v>
      </c>
      <c r="Q72" s="53">
        <f t="shared" si="7"/>
        <v>377.69395463806086</v>
      </c>
    </row>
    <row r="73" spans="1:17">
      <c r="A73" s="1" t="s">
        <v>110</v>
      </c>
      <c r="B73" s="1" t="s">
        <v>111</v>
      </c>
      <c r="D73" s="9">
        <f>+assessment!H73</f>
        <v>9.7874709415645658E-5</v>
      </c>
      <c r="F73" s="2">
        <f>+assessment!J73</f>
        <v>5121.8081327839845</v>
      </c>
      <c r="H73" s="22">
        <v>-4406.6658855278565</v>
      </c>
      <c r="J73" s="4">
        <f t="shared" si="4"/>
        <v>715.14224725612803</v>
      </c>
      <c r="K73" s="22">
        <v>0</v>
      </c>
      <c r="L73" s="22">
        <f t="shared" si="5"/>
        <v>-4406.6658855278565</v>
      </c>
      <c r="M73" s="66">
        <v>0</v>
      </c>
      <c r="N73" s="67">
        <v>0</v>
      </c>
      <c r="O73" s="51">
        <v>225</v>
      </c>
      <c r="P73" s="51">
        <f t="shared" si="6"/>
        <v>0</v>
      </c>
      <c r="Q73" s="53">
        <f t="shared" si="7"/>
        <v>715.14224725612803</v>
      </c>
    </row>
    <row r="74" spans="1:17">
      <c r="A74" s="1" t="s">
        <v>112</v>
      </c>
      <c r="B74" s="1" t="s">
        <v>113</v>
      </c>
      <c r="D74" s="9">
        <f>+assessment!H74</f>
        <v>5.1456966265562141E-5</v>
      </c>
      <c r="F74" s="2">
        <f>+assessment!J74</f>
        <v>2692.755972210502</v>
      </c>
      <c r="H74" s="22">
        <v>-2316.7921806041049</v>
      </c>
      <c r="J74" s="4">
        <f t="shared" si="4"/>
        <v>375.96379160639708</v>
      </c>
      <c r="K74" s="22">
        <v>-225</v>
      </c>
      <c r="L74" s="22">
        <f t="shared" si="5"/>
        <v>-2541.7921806041049</v>
      </c>
      <c r="M74" s="66">
        <v>1</v>
      </c>
      <c r="N74" s="67">
        <v>0</v>
      </c>
      <c r="O74" s="51">
        <v>225</v>
      </c>
      <c r="P74" s="51">
        <f t="shared" si="6"/>
        <v>0</v>
      </c>
      <c r="Q74" s="53">
        <f t="shared" si="7"/>
        <v>375.96379160639708</v>
      </c>
    </row>
    <row r="75" spans="1:17">
      <c r="A75" s="1" t="s">
        <v>114</v>
      </c>
      <c r="B75" s="1" t="s">
        <v>115</v>
      </c>
      <c r="D75" s="9">
        <f>+assessment!H75</f>
        <v>3.7693243586387273E-4</v>
      </c>
      <c r="F75" s="2">
        <f>+assessment!J75</f>
        <v>19724.969065492325</v>
      </c>
      <c r="H75" s="22">
        <v>-16971.029556102942</v>
      </c>
      <c r="J75" s="4">
        <f t="shared" si="4"/>
        <v>2753.9395093893836</v>
      </c>
      <c r="K75" s="22">
        <v>-225</v>
      </c>
      <c r="L75" s="22">
        <f t="shared" si="5"/>
        <v>-17196.029556102942</v>
      </c>
      <c r="M75" s="66">
        <v>1</v>
      </c>
      <c r="N75" s="67">
        <v>0</v>
      </c>
      <c r="O75" s="51">
        <v>225</v>
      </c>
      <c r="P75" s="51">
        <f t="shared" si="6"/>
        <v>0</v>
      </c>
      <c r="Q75" s="53">
        <f t="shared" si="7"/>
        <v>2753.9395093893836</v>
      </c>
    </row>
    <row r="76" spans="1:17">
      <c r="A76" s="1" t="s">
        <v>116</v>
      </c>
      <c r="B76" s="1" t="s">
        <v>117</v>
      </c>
      <c r="D76" s="9">
        <f>+assessment!H76</f>
        <v>2.2281308335978148E-5</v>
      </c>
      <c r="F76" s="2">
        <f>+assessment!J76</f>
        <v>1165.9864629548299</v>
      </c>
      <c r="H76" s="22">
        <v>-1003.1906015618953</v>
      </c>
      <c r="J76" s="4">
        <f t="shared" si="4"/>
        <v>162.79586139293463</v>
      </c>
      <c r="K76" s="22">
        <v>-225</v>
      </c>
      <c r="L76" s="22">
        <f t="shared" si="5"/>
        <v>-1228.1906015618952</v>
      </c>
      <c r="M76" s="66">
        <v>1</v>
      </c>
      <c r="N76" s="67">
        <v>0</v>
      </c>
      <c r="O76" s="51">
        <v>225</v>
      </c>
      <c r="P76" s="51">
        <f t="shared" si="6"/>
        <v>0</v>
      </c>
      <c r="Q76" s="53">
        <f t="shared" si="7"/>
        <v>162.79586139293463</v>
      </c>
    </row>
    <row r="77" spans="1:17">
      <c r="A77" s="1" t="s">
        <v>118</v>
      </c>
      <c r="B77" s="1" t="s">
        <v>119</v>
      </c>
      <c r="D77" s="9">
        <f>+assessment!H77</f>
        <v>4.7967721288831231E-5</v>
      </c>
      <c r="F77" s="2">
        <f>+assessment!J77</f>
        <v>2510.1629059751581</v>
      </c>
      <c r="H77" s="22">
        <v>-2159.6915635949404</v>
      </c>
      <c r="J77" s="4">
        <f t="shared" si="4"/>
        <v>350.47134238021772</v>
      </c>
      <c r="K77" s="22">
        <v>-675</v>
      </c>
      <c r="L77" s="22">
        <f t="shared" si="5"/>
        <v>-2834.6915635949404</v>
      </c>
      <c r="M77" s="66">
        <v>3</v>
      </c>
      <c r="N77" s="67">
        <v>0</v>
      </c>
      <c r="O77" s="51">
        <v>225</v>
      </c>
      <c r="P77" s="51">
        <f t="shared" si="6"/>
        <v>0</v>
      </c>
      <c r="Q77" s="53">
        <f t="shared" si="7"/>
        <v>350.47134238021772</v>
      </c>
    </row>
    <row r="78" spans="1:17">
      <c r="A78" s="1" t="s">
        <v>120</v>
      </c>
      <c r="B78" s="1" t="s">
        <v>486</v>
      </c>
      <c r="D78" s="9">
        <f>+assessment!H78</f>
        <v>3.1401169259437574E-5</v>
      </c>
      <c r="F78" s="2">
        <f>+assessment!J78</f>
        <v>1643.2310762621214</v>
      </c>
      <c r="H78" s="22">
        <v>-1413.805053700125</v>
      </c>
      <c r="J78" s="4">
        <f t="shared" si="4"/>
        <v>229.42602256199643</v>
      </c>
      <c r="K78" s="22">
        <v>0</v>
      </c>
      <c r="L78" s="22">
        <f t="shared" si="5"/>
        <v>-1413.805053700125</v>
      </c>
      <c r="M78" s="66">
        <v>0</v>
      </c>
      <c r="N78" s="67">
        <v>0</v>
      </c>
      <c r="O78" s="51">
        <v>225</v>
      </c>
      <c r="P78" s="51">
        <f t="shared" si="6"/>
        <v>0</v>
      </c>
      <c r="Q78" s="53">
        <f t="shared" si="7"/>
        <v>229.42602256199643</v>
      </c>
    </row>
    <row r="79" spans="1:17">
      <c r="A79" s="1" t="s">
        <v>121</v>
      </c>
      <c r="B79" s="1" t="s">
        <v>122</v>
      </c>
      <c r="D79" s="9">
        <f>+assessment!H79</f>
        <v>1.7582239212537293E-4</v>
      </c>
      <c r="F79" s="2">
        <f>+assessment!J79</f>
        <v>9200.8299517803389</v>
      </c>
      <c r="H79" s="22">
        <v>-7916.1935241097854</v>
      </c>
      <c r="J79" s="4">
        <f t="shared" si="4"/>
        <v>1284.6364276705535</v>
      </c>
      <c r="K79" s="22">
        <v>0</v>
      </c>
      <c r="L79" s="22">
        <f t="shared" si="5"/>
        <v>-7916.1935241097854</v>
      </c>
      <c r="M79" s="66">
        <v>0</v>
      </c>
      <c r="N79" s="67">
        <v>0</v>
      </c>
      <c r="O79" s="51">
        <v>225</v>
      </c>
      <c r="P79" s="51">
        <f t="shared" si="6"/>
        <v>0</v>
      </c>
      <c r="Q79" s="53">
        <f t="shared" si="7"/>
        <v>1284.6364276705535</v>
      </c>
    </row>
    <row r="80" spans="1:17">
      <c r="A80" s="1" t="s">
        <v>471</v>
      </c>
      <c r="B80" s="1" t="s">
        <v>520</v>
      </c>
      <c r="D80" s="9">
        <f>+assessment!H80</f>
        <v>7.3593445669952655E-6</v>
      </c>
      <c r="F80" s="2">
        <f>+assessment!J80</f>
        <v>385.11635007899787</v>
      </c>
      <c r="H80" s="22">
        <v>-331.34490972188519</v>
      </c>
      <c r="J80" s="4">
        <f t="shared" si="4"/>
        <v>53.771440357112681</v>
      </c>
      <c r="K80" s="22">
        <v>0</v>
      </c>
      <c r="L80" s="22">
        <f t="shared" si="5"/>
        <v>-331.34490972188519</v>
      </c>
      <c r="M80" s="66">
        <v>0</v>
      </c>
      <c r="N80" s="67">
        <v>0</v>
      </c>
      <c r="O80" s="51">
        <v>225</v>
      </c>
      <c r="P80" s="51">
        <f t="shared" si="6"/>
        <v>0</v>
      </c>
      <c r="Q80" s="53">
        <f t="shared" si="7"/>
        <v>53.771440357112681</v>
      </c>
    </row>
    <row r="81" spans="1:17">
      <c r="A81" s="1" t="s">
        <v>123</v>
      </c>
      <c r="B81" s="1" t="s">
        <v>481</v>
      </c>
      <c r="D81" s="9">
        <f>+assessment!H81</f>
        <v>3.0010420862094727E-4</v>
      </c>
      <c r="F81" s="2">
        <f>+assessment!J81</f>
        <v>15704.528632314505</v>
      </c>
      <c r="H81" s="22">
        <v>-13511.784437951665</v>
      </c>
      <c r="J81" s="4">
        <f t="shared" si="4"/>
        <v>2192.7441943628401</v>
      </c>
      <c r="K81" s="22">
        <v>-675</v>
      </c>
      <c r="L81" s="22">
        <f t="shared" si="5"/>
        <v>-14186.784437951665</v>
      </c>
      <c r="M81" s="66">
        <v>3</v>
      </c>
      <c r="N81" s="67">
        <v>0</v>
      </c>
      <c r="O81" s="51">
        <v>225</v>
      </c>
      <c r="P81" s="51">
        <f t="shared" si="6"/>
        <v>0</v>
      </c>
      <c r="Q81" s="53">
        <f t="shared" si="7"/>
        <v>2192.7441943628401</v>
      </c>
    </row>
    <row r="82" spans="1:17">
      <c r="A82" s="1" t="s">
        <v>124</v>
      </c>
      <c r="B82" s="1" t="s">
        <v>125</v>
      </c>
      <c r="D82" s="9">
        <f>+assessment!H82</f>
        <v>6.441064617048046E-5</v>
      </c>
      <c r="F82" s="2">
        <f>+assessment!J82</f>
        <v>3370.6252959878802</v>
      </c>
      <c r="H82" s="22">
        <v>-2899.9709530910181</v>
      </c>
      <c r="J82" s="4">
        <f t="shared" si="4"/>
        <v>470.65434289686209</v>
      </c>
      <c r="K82" s="22">
        <v>0</v>
      </c>
      <c r="L82" s="22">
        <f t="shared" si="5"/>
        <v>-2899.9709530910181</v>
      </c>
      <c r="M82" s="66">
        <v>0</v>
      </c>
      <c r="N82" s="67">
        <v>0</v>
      </c>
      <c r="O82" s="51">
        <v>225</v>
      </c>
      <c r="P82" s="51">
        <f t="shared" si="6"/>
        <v>0</v>
      </c>
      <c r="Q82" s="53">
        <f t="shared" si="7"/>
        <v>470.65434289686209</v>
      </c>
    </row>
    <row r="83" spans="1:17">
      <c r="A83" s="1" t="s">
        <v>126</v>
      </c>
      <c r="B83" s="1" t="s">
        <v>521</v>
      </c>
      <c r="D83" s="9">
        <f>+assessment!H83</f>
        <v>1.901566489567846E-4</v>
      </c>
      <c r="F83" s="2">
        <f>+assessment!J83</f>
        <v>9950.9452129634574</v>
      </c>
      <c r="H83" s="22">
        <v>-8561.4903269454335</v>
      </c>
      <c r="J83" s="4">
        <f t="shared" si="4"/>
        <v>1389.4548860180239</v>
      </c>
      <c r="K83" s="22">
        <v>-450</v>
      </c>
      <c r="L83" s="22">
        <f t="shared" si="5"/>
        <v>-9011.4903269454335</v>
      </c>
      <c r="M83" s="66">
        <v>2</v>
      </c>
      <c r="N83" s="67">
        <v>0</v>
      </c>
      <c r="O83" s="51">
        <v>225</v>
      </c>
      <c r="P83" s="51">
        <f t="shared" si="6"/>
        <v>0</v>
      </c>
      <c r="Q83" s="53">
        <f t="shared" si="7"/>
        <v>1389.4548860180239</v>
      </c>
    </row>
    <row r="84" spans="1:17">
      <c r="A84" s="1" t="s">
        <v>127</v>
      </c>
      <c r="B84" s="1" t="s">
        <v>128</v>
      </c>
      <c r="D84" s="9">
        <f>+assessment!H84</f>
        <v>1.4802354763492491E-5</v>
      </c>
      <c r="F84" s="2">
        <f>+assessment!J84</f>
        <v>774.61094356914941</v>
      </c>
      <c r="H84" s="22">
        <v>-666.45627245940432</v>
      </c>
      <c r="J84" s="4">
        <f t="shared" si="4"/>
        <v>108.1546711097451</v>
      </c>
      <c r="K84" s="22">
        <v>0</v>
      </c>
      <c r="L84" s="22">
        <f t="shared" si="5"/>
        <v>-666.45627245940432</v>
      </c>
      <c r="M84" s="66">
        <v>0</v>
      </c>
      <c r="N84" s="67">
        <v>0</v>
      </c>
      <c r="O84" s="51">
        <v>225</v>
      </c>
      <c r="P84" s="51">
        <f t="shared" si="6"/>
        <v>0</v>
      </c>
      <c r="Q84" s="53">
        <f t="shared" si="7"/>
        <v>108.1546711097451</v>
      </c>
    </row>
    <row r="85" spans="1:17">
      <c r="A85" s="1" t="s">
        <v>557</v>
      </c>
      <c r="B85" s="1" t="s">
        <v>558</v>
      </c>
      <c r="D85" s="9">
        <f>+assessment!H85</f>
        <v>7.3529964258627067E-5</v>
      </c>
      <c r="F85" s="2">
        <f>+assessment!J85</f>
        <v>3847.8415025868753</v>
      </c>
      <c r="H85" s="22">
        <v>-3310.5467152222391</v>
      </c>
      <c r="J85" s="4">
        <f t="shared" si="4"/>
        <v>537.29478736463625</v>
      </c>
      <c r="K85" s="22">
        <v>-225</v>
      </c>
      <c r="L85" s="22">
        <f t="shared" si="5"/>
        <v>-3535.5467152222391</v>
      </c>
      <c r="M85" s="66">
        <v>1</v>
      </c>
      <c r="N85" s="67">
        <v>0</v>
      </c>
      <c r="O85" s="51">
        <v>225</v>
      </c>
      <c r="P85" s="51">
        <f t="shared" si="6"/>
        <v>0</v>
      </c>
      <c r="Q85" s="53">
        <f t="shared" si="7"/>
        <v>537.29478736463625</v>
      </c>
    </row>
    <row r="86" spans="1:17">
      <c r="A86" s="1" t="s">
        <v>129</v>
      </c>
      <c r="B86" s="1" t="s">
        <v>130</v>
      </c>
      <c r="D86" s="9">
        <f>+assessment!H86</f>
        <v>1.3964729120368315E-5</v>
      </c>
      <c r="F86" s="2">
        <f>+assessment!J86</f>
        <v>730.7777832277709</v>
      </c>
      <c r="H86" s="22">
        <v>-628.74141410263667</v>
      </c>
      <c r="J86" s="4">
        <f t="shared" ref="J86:J139" si="8">SUM(F86:H86)</f>
        <v>102.03636912513423</v>
      </c>
      <c r="K86" s="22">
        <v>-225</v>
      </c>
      <c r="L86" s="22">
        <f t="shared" si="5"/>
        <v>-853.74141410263667</v>
      </c>
      <c r="M86" s="66">
        <v>1</v>
      </c>
      <c r="N86" s="67">
        <v>0</v>
      </c>
      <c r="O86" s="51">
        <v>225</v>
      </c>
      <c r="P86" s="51">
        <f t="shared" si="6"/>
        <v>0</v>
      </c>
      <c r="Q86" s="53">
        <f t="shared" si="7"/>
        <v>102.03636912513423</v>
      </c>
    </row>
    <row r="87" spans="1:17">
      <c r="A87" s="1" t="s">
        <v>131</v>
      </c>
      <c r="B87" s="1" t="s">
        <v>132</v>
      </c>
      <c r="D87" s="9">
        <f>+assessment!H87</f>
        <v>7.5497096763016893E-6</v>
      </c>
      <c r="F87" s="2">
        <f>+assessment!J87</f>
        <v>395.07820407442944</v>
      </c>
      <c r="H87" s="22">
        <v>-339.91262010700927</v>
      </c>
      <c r="J87" s="4">
        <f t="shared" si="8"/>
        <v>55.165583967420162</v>
      </c>
      <c r="K87" s="22">
        <v>0</v>
      </c>
      <c r="L87" s="22">
        <f t="shared" si="5"/>
        <v>-339.91262010700927</v>
      </c>
      <c r="M87" s="66">
        <v>0</v>
      </c>
      <c r="N87" s="67">
        <v>0</v>
      </c>
      <c r="O87" s="51">
        <v>225</v>
      </c>
      <c r="P87" s="51">
        <f t="shared" si="6"/>
        <v>0</v>
      </c>
      <c r="Q87" s="53">
        <f t="shared" si="7"/>
        <v>55.165583967420162</v>
      </c>
    </row>
    <row r="88" spans="1:17">
      <c r="A88" s="1" t="s">
        <v>133</v>
      </c>
      <c r="B88" s="1" t="s">
        <v>134</v>
      </c>
      <c r="D88" s="9">
        <f>+assessment!H88</f>
        <v>1.6133263414795795E-4</v>
      </c>
      <c r="F88" s="2">
        <f>+assessment!J88</f>
        <v>8442.5772765603178</v>
      </c>
      <c r="H88" s="22">
        <v>-7263.8084518544892</v>
      </c>
      <c r="J88" s="4">
        <f t="shared" si="8"/>
        <v>1178.7688247058286</v>
      </c>
      <c r="K88" s="22">
        <v>-450</v>
      </c>
      <c r="L88" s="22">
        <f t="shared" si="5"/>
        <v>-7713.8084518544892</v>
      </c>
      <c r="M88" s="66">
        <v>2</v>
      </c>
      <c r="N88" s="67">
        <v>0</v>
      </c>
      <c r="O88" s="51">
        <v>225</v>
      </c>
      <c r="P88" s="51">
        <f t="shared" si="6"/>
        <v>0</v>
      </c>
      <c r="Q88" s="53">
        <f t="shared" si="7"/>
        <v>1178.7688247058286</v>
      </c>
    </row>
    <row r="89" spans="1:17">
      <c r="A89" s="1" t="s">
        <v>135</v>
      </c>
      <c r="B89" s="1" t="s">
        <v>136</v>
      </c>
      <c r="D89" s="9">
        <f>+assessment!H89</f>
        <v>0.21042718772537666</v>
      </c>
      <c r="F89" s="2">
        <f>+assessment!J89</f>
        <v>11011707.599291334</v>
      </c>
      <c r="H89" s="22">
        <v>-9473507.2566978466</v>
      </c>
      <c r="J89" s="4">
        <f>SUM(F89:H89)</f>
        <v>1538200.3425934874</v>
      </c>
      <c r="K89" s="22">
        <v>-1125</v>
      </c>
      <c r="L89" s="22">
        <f t="shared" si="5"/>
        <v>-9474632.2566978466</v>
      </c>
      <c r="M89" s="66">
        <v>5</v>
      </c>
      <c r="N89" s="67">
        <v>0</v>
      </c>
      <c r="O89" s="51">
        <v>225</v>
      </c>
      <c r="P89" s="51">
        <f t="shared" si="6"/>
        <v>0</v>
      </c>
      <c r="Q89" s="53">
        <f t="shared" si="7"/>
        <v>1538200.3425934874</v>
      </c>
    </row>
    <row r="90" spans="1:17">
      <c r="A90" s="1" t="s">
        <v>137</v>
      </c>
      <c r="B90" s="1" t="s">
        <v>474</v>
      </c>
      <c r="D90" s="9">
        <f>+assessment!H90</f>
        <v>3.409296257861387E-2</v>
      </c>
      <c r="F90" s="2">
        <f>+assessment!J90</f>
        <v>1784093.2969138524</v>
      </c>
      <c r="H90" s="22">
        <v>-1534955.2493525827</v>
      </c>
      <c r="J90" s="4">
        <f t="shared" si="8"/>
        <v>249138.04756126972</v>
      </c>
      <c r="K90" s="22">
        <v>-225</v>
      </c>
      <c r="L90" s="22">
        <f t="shared" si="5"/>
        <v>-1535180.2493525827</v>
      </c>
      <c r="M90" s="66">
        <v>1</v>
      </c>
      <c r="N90" s="67">
        <v>0</v>
      </c>
      <c r="O90" s="51">
        <v>225</v>
      </c>
      <c r="P90" s="51">
        <f t="shared" si="6"/>
        <v>0</v>
      </c>
      <c r="Q90" s="53">
        <f t="shared" si="7"/>
        <v>249138.04756126972</v>
      </c>
    </row>
    <row r="91" spans="1:17">
      <c r="A91" s="1" t="s">
        <v>138</v>
      </c>
      <c r="B91" s="1" t="s">
        <v>139</v>
      </c>
      <c r="D91" s="9">
        <f>+assessment!H91</f>
        <v>2.3388517721431905E-5</v>
      </c>
      <c r="F91" s="2">
        <f>+assessment!J91</f>
        <v>1223.9270082598389</v>
      </c>
      <c r="H91" s="22">
        <v>-1053.0264405135481</v>
      </c>
      <c r="J91" s="4">
        <f t="shared" si="8"/>
        <v>170.90056774629079</v>
      </c>
      <c r="K91" s="22">
        <v>0</v>
      </c>
      <c r="L91" s="22">
        <f t="shared" si="5"/>
        <v>-1053.0264405135481</v>
      </c>
      <c r="M91" s="66">
        <v>0</v>
      </c>
      <c r="N91" s="67">
        <v>0</v>
      </c>
      <c r="O91" s="51">
        <v>225</v>
      </c>
      <c r="P91" s="51">
        <f>O91*N91</f>
        <v>0</v>
      </c>
      <c r="Q91" s="53">
        <f t="shared" si="7"/>
        <v>170.90056774629079</v>
      </c>
    </row>
    <row r="92" spans="1:17">
      <c r="A92" s="1" t="s">
        <v>473</v>
      </c>
      <c r="B92" s="1" t="s">
        <v>477</v>
      </c>
      <c r="D92" s="9">
        <f>+assessment!H92</f>
        <v>8.9533239628471969E-3</v>
      </c>
      <c r="F92" s="2">
        <f>+assessment!J92</f>
        <v>468529.69231937302</v>
      </c>
      <c r="H92" s="22">
        <v>-403100.74174207571</v>
      </c>
      <c r="J92" s="4">
        <f t="shared" si="8"/>
        <v>65428.950577297306</v>
      </c>
      <c r="K92" s="22">
        <v>0</v>
      </c>
      <c r="L92" s="22">
        <f t="shared" si="5"/>
        <v>-403100.74174207571</v>
      </c>
      <c r="M92" s="66">
        <v>0</v>
      </c>
      <c r="N92" s="67">
        <v>0</v>
      </c>
      <c r="O92" s="51">
        <v>225</v>
      </c>
      <c r="P92" s="51">
        <f>O92*N92</f>
        <v>0</v>
      </c>
      <c r="Q92" s="53">
        <f>P92+J92</f>
        <v>65428.950577297306</v>
      </c>
    </row>
    <row r="93" spans="1:17">
      <c r="A93" s="1" t="s">
        <v>493</v>
      </c>
      <c r="B93" s="1" t="s">
        <v>531</v>
      </c>
      <c r="D93" s="9">
        <f>+assessment!H93</f>
        <v>7.6762813161762502E-5</v>
      </c>
      <c r="F93" s="2">
        <f>+assessment!J93</f>
        <v>4017.0172978765827</v>
      </c>
      <c r="H93" s="22">
        <v>-3456.2039800709126</v>
      </c>
      <c r="J93" s="4">
        <f t="shared" si="8"/>
        <v>560.81331780567007</v>
      </c>
      <c r="K93" s="22">
        <v>-225</v>
      </c>
      <c r="L93" s="22">
        <f t="shared" si="5"/>
        <v>-3681.2039800709126</v>
      </c>
      <c r="M93" s="66">
        <v>1</v>
      </c>
      <c r="N93" s="67">
        <v>0</v>
      </c>
      <c r="O93" s="51">
        <v>225</v>
      </c>
      <c r="P93" s="51">
        <f t="shared" ref="P93:P156" si="9">O93*N93</f>
        <v>0</v>
      </c>
      <c r="Q93" s="53">
        <f>P93+J93</f>
        <v>560.81331780567007</v>
      </c>
    </row>
    <row r="94" spans="1:17">
      <c r="A94" s="1" t="s">
        <v>140</v>
      </c>
      <c r="B94" s="1" t="s">
        <v>141</v>
      </c>
      <c r="D94" s="9">
        <f>+assessment!H94</f>
        <v>1.7960253945927735E-3</v>
      </c>
      <c r="F94" s="2">
        <f>+assessment!J94</f>
        <v>93986.460114499729</v>
      </c>
      <c r="H94" s="22">
        <v>-80862.127644182328</v>
      </c>
      <c r="J94" s="4">
        <f t="shared" si="8"/>
        <v>13124.3324703174</v>
      </c>
      <c r="K94" s="22">
        <v>-450</v>
      </c>
      <c r="L94" s="22">
        <f t="shared" si="5"/>
        <v>-81312.127644182328</v>
      </c>
      <c r="M94" s="66">
        <v>2</v>
      </c>
      <c r="N94" s="67">
        <v>0</v>
      </c>
      <c r="O94" s="51">
        <v>225</v>
      </c>
      <c r="P94" s="51">
        <f t="shared" si="9"/>
        <v>0</v>
      </c>
      <c r="Q94" s="53">
        <f t="shared" si="7"/>
        <v>13124.3324703174</v>
      </c>
    </row>
    <row r="95" spans="1:17">
      <c r="A95" s="1" t="s">
        <v>142</v>
      </c>
      <c r="B95" s="1" t="s">
        <v>143</v>
      </c>
      <c r="D95" s="9">
        <f>+assessment!H95</f>
        <v>1.5285581377318103E-3</v>
      </c>
      <c r="F95" s="2">
        <f>+assessment!J95</f>
        <v>79989.831367166582</v>
      </c>
      <c r="H95" s="22">
        <v>-68818.243268084581</v>
      </c>
      <c r="J95" s="4">
        <f t="shared" si="8"/>
        <v>11171.588099082001</v>
      </c>
      <c r="K95" s="22">
        <v>-450</v>
      </c>
      <c r="L95" s="22">
        <f t="shared" si="5"/>
        <v>-69268.243268084581</v>
      </c>
      <c r="M95" s="66">
        <v>2</v>
      </c>
      <c r="N95" s="67">
        <v>0</v>
      </c>
      <c r="O95" s="51">
        <v>225</v>
      </c>
      <c r="P95" s="51">
        <f t="shared" si="9"/>
        <v>0</v>
      </c>
      <c r="Q95" s="53">
        <f t="shared" si="7"/>
        <v>11171.588099082001</v>
      </c>
    </row>
    <row r="96" spans="1:17">
      <c r="A96" s="1" t="s">
        <v>144</v>
      </c>
      <c r="B96" s="1" t="s">
        <v>145</v>
      </c>
      <c r="D96" s="9">
        <f>+assessment!H96</f>
        <v>2.824341856433434E-5</v>
      </c>
      <c r="F96" s="2">
        <f>+assessment!J96</f>
        <v>1477.9851890656621</v>
      </c>
      <c r="H96" s="22">
        <v>-1271.6104847267709</v>
      </c>
      <c r="J96" s="4">
        <f t="shared" si="8"/>
        <v>206.37470433889121</v>
      </c>
      <c r="K96" s="22">
        <v>0</v>
      </c>
      <c r="L96" s="22">
        <f t="shared" si="5"/>
        <v>-1271.6104847267709</v>
      </c>
      <c r="M96" s="66">
        <v>0</v>
      </c>
      <c r="N96" s="67">
        <v>0</v>
      </c>
      <c r="O96" s="51">
        <v>225</v>
      </c>
      <c r="P96" s="51">
        <f t="shared" si="9"/>
        <v>0</v>
      </c>
      <c r="Q96" s="53">
        <f t="shared" si="7"/>
        <v>206.37470433889121</v>
      </c>
    </row>
    <row r="97" spans="1:17">
      <c r="A97" s="1" t="s">
        <v>146</v>
      </c>
      <c r="B97" s="1" t="s">
        <v>147</v>
      </c>
      <c r="D97" s="9">
        <f>+assessment!H97</f>
        <v>6.3822687954938622E-4</v>
      </c>
      <c r="F97" s="2">
        <f>+assessment!J97</f>
        <v>33398.572948558336</v>
      </c>
      <c r="H97" s="22">
        <v>-28735.38821919516</v>
      </c>
      <c r="J97" s="4">
        <f t="shared" si="8"/>
        <v>4663.1847293631763</v>
      </c>
      <c r="K97" s="22">
        <v>-450</v>
      </c>
      <c r="L97" s="22">
        <f t="shared" si="5"/>
        <v>-29185.38821919516</v>
      </c>
      <c r="M97" s="66">
        <v>2</v>
      </c>
      <c r="N97" s="67">
        <v>0</v>
      </c>
      <c r="O97" s="51">
        <v>225</v>
      </c>
      <c r="P97" s="51">
        <f t="shared" si="9"/>
        <v>0</v>
      </c>
      <c r="Q97" s="53">
        <f t="shared" si="7"/>
        <v>4663.1847293631763</v>
      </c>
    </row>
    <row r="98" spans="1:17">
      <c r="A98" s="1" t="s">
        <v>148</v>
      </c>
      <c r="B98" s="1" t="s">
        <v>468</v>
      </c>
      <c r="D98" s="9">
        <f>+assessment!H98</f>
        <v>4.4251345264002331E-3</v>
      </c>
      <c r="F98" s="2">
        <f>+assessment!J98</f>
        <v>231568.40149307129</v>
      </c>
      <c r="H98" s="22">
        <v>-199234.79670597089</v>
      </c>
      <c r="J98" s="4">
        <f t="shared" si="8"/>
        <v>32333.604787100398</v>
      </c>
      <c r="K98" s="22">
        <v>-450</v>
      </c>
      <c r="L98" s="22">
        <f t="shared" si="5"/>
        <v>-199684.79670597089</v>
      </c>
      <c r="M98" s="66">
        <v>2</v>
      </c>
      <c r="N98" s="67">
        <v>0</v>
      </c>
      <c r="O98" s="51">
        <v>225</v>
      </c>
      <c r="P98" s="51">
        <f t="shared" si="9"/>
        <v>0</v>
      </c>
      <c r="Q98" s="53">
        <f t="shared" si="7"/>
        <v>32333.604787100398</v>
      </c>
    </row>
    <row r="99" spans="1:17">
      <c r="A99" s="1" t="s">
        <v>149</v>
      </c>
      <c r="B99" s="1" t="s">
        <v>522</v>
      </c>
      <c r="D99" s="9">
        <f>+assessment!H99</f>
        <v>9.8778936387717062E-5</v>
      </c>
      <c r="F99" s="2">
        <f>+assessment!J99</f>
        <v>5169.1265574014233</v>
      </c>
      <c r="H99" s="22">
        <v>-4447.3671407738757</v>
      </c>
      <c r="J99" s="4">
        <f t="shared" si="8"/>
        <v>721.75941662754758</v>
      </c>
      <c r="K99" s="22">
        <v>0</v>
      </c>
      <c r="L99" s="22">
        <f t="shared" si="5"/>
        <v>-4447.3671407738757</v>
      </c>
      <c r="M99" s="66">
        <v>0</v>
      </c>
      <c r="N99" s="67">
        <v>0</v>
      </c>
      <c r="O99" s="51">
        <v>225</v>
      </c>
      <c r="P99" s="51">
        <f t="shared" si="9"/>
        <v>0</v>
      </c>
      <c r="Q99" s="53">
        <f t="shared" si="7"/>
        <v>721.75941662754758</v>
      </c>
    </row>
    <row r="100" spans="1:17">
      <c r="A100" s="1" t="s">
        <v>496</v>
      </c>
      <c r="B100" s="1" t="s">
        <v>497</v>
      </c>
      <c r="D100" s="9">
        <f>+assessment!H100</f>
        <v>2.3298859507522229E-3</v>
      </c>
      <c r="F100" s="2">
        <f>+assessment!J100</f>
        <v>121923.51714011125</v>
      </c>
      <c r="H100" s="22">
        <v>-104896.10337228661</v>
      </c>
      <c r="J100" s="4">
        <f t="shared" si="8"/>
        <v>17027.413767824633</v>
      </c>
      <c r="K100" s="22">
        <v>-450</v>
      </c>
      <c r="L100" s="22">
        <f t="shared" si="5"/>
        <v>-105346.10337228661</v>
      </c>
      <c r="M100" s="66">
        <v>2</v>
      </c>
      <c r="N100" s="67">
        <v>0</v>
      </c>
      <c r="O100" s="51">
        <v>225</v>
      </c>
      <c r="P100" s="51">
        <f t="shared" si="9"/>
        <v>0</v>
      </c>
      <c r="Q100" s="53">
        <f t="shared" si="7"/>
        <v>17027.413767824633</v>
      </c>
    </row>
    <row r="101" spans="1:17">
      <c r="A101" s="1" t="s">
        <v>536</v>
      </c>
      <c r="B101" s="1" t="s">
        <v>537</v>
      </c>
      <c r="D101" s="9">
        <f>+assessment!H101</f>
        <v>4.1551922656978935E-2</v>
      </c>
      <c r="F101" s="2">
        <f>+assessment!J101</f>
        <v>2174422.5517292367</v>
      </c>
      <c r="H101" s="22">
        <v>-1870741.1183160644</v>
      </c>
      <c r="J101" s="4">
        <f t="shared" si="8"/>
        <v>303681.43341317237</v>
      </c>
      <c r="K101" s="22">
        <v>-3375</v>
      </c>
      <c r="L101" s="22">
        <f t="shared" si="5"/>
        <v>-1874116.1183160644</v>
      </c>
      <c r="M101" s="66">
        <v>15</v>
      </c>
      <c r="N101" s="67">
        <v>5</v>
      </c>
      <c r="O101" s="51">
        <v>225</v>
      </c>
      <c r="P101" s="51">
        <f t="shared" si="9"/>
        <v>1125</v>
      </c>
      <c r="Q101" s="53">
        <f t="shared" si="7"/>
        <v>304806.43341317237</v>
      </c>
    </row>
    <row r="102" spans="1:17">
      <c r="A102" s="1" t="s">
        <v>150</v>
      </c>
      <c r="B102" s="1" t="s">
        <v>151</v>
      </c>
      <c r="D102" s="9">
        <f>+assessment!H102</f>
        <v>0.36127139770428629</v>
      </c>
      <c r="F102" s="2">
        <f>+assessment!J102</f>
        <v>18905423.004078548</v>
      </c>
      <c r="H102" s="22">
        <v>-16264589.456077825</v>
      </c>
      <c r="J102" s="4">
        <f t="shared" si="8"/>
        <v>2640833.5480007231</v>
      </c>
      <c r="K102" s="22">
        <v>-3150</v>
      </c>
      <c r="L102" s="22">
        <f t="shared" si="5"/>
        <v>-16267739.456077825</v>
      </c>
      <c r="M102" s="66">
        <v>14</v>
      </c>
      <c r="N102" s="67">
        <v>1</v>
      </c>
      <c r="O102" s="51">
        <v>225</v>
      </c>
      <c r="P102" s="51">
        <f t="shared" si="9"/>
        <v>225</v>
      </c>
      <c r="Q102" s="53">
        <f t="shared" si="7"/>
        <v>2641058.5480007231</v>
      </c>
    </row>
    <row r="103" spans="1:17">
      <c r="A103" s="1" t="s">
        <v>499</v>
      </c>
      <c r="B103" s="1" t="s">
        <v>498</v>
      </c>
      <c r="D103" s="9">
        <f>+assessment!H103</f>
        <v>2.6555071308163774E-3</v>
      </c>
      <c r="F103" s="2">
        <f>+assessment!J103</f>
        <v>138963.35529867752</v>
      </c>
      <c r="H103" s="22">
        <v>-119556.48418975339</v>
      </c>
      <c r="J103" s="4">
        <f t="shared" si="8"/>
        <v>19406.871108924126</v>
      </c>
      <c r="K103" s="22">
        <v>0</v>
      </c>
      <c r="L103" s="22">
        <f t="shared" si="5"/>
        <v>-119556.48418975339</v>
      </c>
      <c r="M103" s="66">
        <v>0</v>
      </c>
      <c r="N103" s="67">
        <v>0</v>
      </c>
      <c r="O103" s="51">
        <v>225</v>
      </c>
      <c r="P103" s="51">
        <f t="shared" si="9"/>
        <v>0</v>
      </c>
      <c r="Q103" s="53">
        <f t="shared" si="7"/>
        <v>19406.871108924126</v>
      </c>
    </row>
    <row r="104" spans="1:17">
      <c r="A104" s="1" t="s">
        <v>152</v>
      </c>
      <c r="B104" s="1" t="s">
        <v>153</v>
      </c>
      <c r="D104" s="9">
        <f>+assessment!H104</f>
        <v>1.9780702011814389E-3</v>
      </c>
      <c r="F104" s="2">
        <f>+assessment!J104</f>
        <v>103512.91057840135</v>
      </c>
      <c r="H104" s="22">
        <v>-89060.55062606014</v>
      </c>
      <c r="J104" s="4">
        <f t="shared" si="8"/>
        <v>14452.359952341212</v>
      </c>
      <c r="K104" s="22">
        <v>-450</v>
      </c>
      <c r="L104" s="22">
        <f t="shared" si="5"/>
        <v>-89510.55062606014</v>
      </c>
      <c r="M104" s="66">
        <v>2</v>
      </c>
      <c r="N104" s="67">
        <v>0</v>
      </c>
      <c r="O104" s="51">
        <v>225</v>
      </c>
      <c r="P104" s="51">
        <f t="shared" si="9"/>
        <v>0</v>
      </c>
      <c r="Q104" s="53">
        <f t="shared" si="7"/>
        <v>14452.359952341212</v>
      </c>
    </row>
    <row r="105" spans="1:17">
      <c r="A105" s="1" t="s">
        <v>565</v>
      </c>
      <c r="B105" s="1" t="s">
        <v>566</v>
      </c>
      <c r="D105" s="9">
        <f>+assessment!H105</f>
        <v>1.9921017482825144E-4</v>
      </c>
      <c r="F105" s="2">
        <f>+assessment!J105</f>
        <v>10424.718496334621</v>
      </c>
      <c r="H105" s="22">
        <v>-8969.3637262055072</v>
      </c>
      <c r="J105" s="4">
        <f t="shared" si="8"/>
        <v>1455.3547701291136</v>
      </c>
      <c r="K105" s="22">
        <v>0</v>
      </c>
      <c r="L105" s="22">
        <f t="shared" si="5"/>
        <v>-8969.3637262055072</v>
      </c>
      <c r="M105" s="66">
        <v>0</v>
      </c>
      <c r="N105" s="67">
        <v>0</v>
      </c>
      <c r="O105" s="51">
        <v>225</v>
      </c>
      <c r="P105" s="51">
        <f t="shared" si="9"/>
        <v>0</v>
      </c>
      <c r="Q105" s="53">
        <f t="shared" si="7"/>
        <v>1455.3547701291136</v>
      </c>
    </row>
    <row r="106" spans="1:17">
      <c r="A106" s="1" t="s">
        <v>154</v>
      </c>
      <c r="B106" s="1" t="s">
        <v>155</v>
      </c>
      <c r="D106" s="9">
        <f>+assessment!H106</f>
        <v>3.7030516632554737E-3</v>
      </c>
      <c r="F106" s="2">
        <f>+assessment!J106</f>
        <v>193781.62385582831</v>
      </c>
      <c r="H106" s="22">
        <v>-166720.59283186722</v>
      </c>
      <c r="J106" s="4">
        <f t="shared" si="8"/>
        <v>27061.031023961084</v>
      </c>
      <c r="K106" s="22">
        <v>-225</v>
      </c>
      <c r="L106" s="22">
        <f t="shared" si="5"/>
        <v>-166945.59283186722</v>
      </c>
      <c r="M106" s="66">
        <v>1</v>
      </c>
      <c r="N106" s="67">
        <v>0</v>
      </c>
      <c r="O106" s="51">
        <v>225</v>
      </c>
      <c r="P106" s="51">
        <f t="shared" si="9"/>
        <v>0</v>
      </c>
      <c r="Q106" s="53">
        <f t="shared" si="7"/>
        <v>27061.031023961084</v>
      </c>
    </row>
    <row r="107" spans="1:17">
      <c r="A107" s="1" t="s">
        <v>156</v>
      </c>
      <c r="B107" s="1" t="s">
        <v>157</v>
      </c>
      <c r="D107" s="9">
        <f>+assessment!H107</f>
        <v>4.1614022544147226E-3</v>
      </c>
      <c r="F107" s="2">
        <f>+assessment!J107</f>
        <v>217767.22544261083</v>
      </c>
      <c r="H107" s="22">
        <v>-187358.16350617466</v>
      </c>
      <c r="J107" s="4">
        <f t="shared" si="8"/>
        <v>30409.061936436163</v>
      </c>
      <c r="K107" s="22">
        <v>-900</v>
      </c>
      <c r="L107" s="22">
        <f t="shared" si="5"/>
        <v>-188258.16350617466</v>
      </c>
      <c r="M107" s="66">
        <v>4</v>
      </c>
      <c r="N107" s="67">
        <v>0</v>
      </c>
      <c r="O107" s="51">
        <v>225</v>
      </c>
      <c r="P107" s="51">
        <f t="shared" si="9"/>
        <v>0</v>
      </c>
      <c r="Q107" s="53">
        <f t="shared" si="7"/>
        <v>30409.061936436163</v>
      </c>
    </row>
    <row r="108" spans="1:17">
      <c r="A108" s="1" t="s">
        <v>158</v>
      </c>
      <c r="B108" s="1" t="s">
        <v>159</v>
      </c>
      <c r="D108" s="9">
        <f>+assessment!H108</f>
        <v>1.8382777407797413E-2</v>
      </c>
      <c r="F108" s="2">
        <f>+assessment!J108</f>
        <v>961975.36005520693</v>
      </c>
      <c r="H108" s="22">
        <v>-827648.6588099699</v>
      </c>
      <c r="J108" s="4">
        <f t="shared" si="8"/>
        <v>134326.70124523703</v>
      </c>
      <c r="K108" s="22">
        <v>0</v>
      </c>
      <c r="L108" s="22">
        <f t="shared" si="5"/>
        <v>-827648.6588099699</v>
      </c>
      <c r="M108" s="66">
        <v>0</v>
      </c>
      <c r="N108" s="67">
        <v>0</v>
      </c>
      <c r="O108" s="51">
        <v>225</v>
      </c>
      <c r="P108" s="51">
        <f t="shared" si="9"/>
        <v>0</v>
      </c>
      <c r="Q108" s="53">
        <f t="shared" si="7"/>
        <v>134326.70124523703</v>
      </c>
    </row>
    <row r="109" spans="1:17">
      <c r="A109" s="1" t="s">
        <v>160</v>
      </c>
      <c r="B109" s="1" t="s">
        <v>161</v>
      </c>
      <c r="D109" s="9">
        <f>+assessment!H109</f>
        <v>5.6113607414928351E-3</v>
      </c>
      <c r="F109" s="2">
        <f>+assessment!J109</f>
        <v>293643.91734447918</v>
      </c>
      <c r="H109" s="22">
        <v>-252638.52213113161</v>
      </c>
      <c r="J109" s="4">
        <f t="shared" si="8"/>
        <v>41005.395213347569</v>
      </c>
      <c r="K109" s="22">
        <v>-675</v>
      </c>
      <c r="L109" s="22">
        <f t="shared" si="5"/>
        <v>-253313.52213113161</v>
      </c>
      <c r="M109" s="66">
        <v>3</v>
      </c>
      <c r="N109" s="67">
        <v>1</v>
      </c>
      <c r="O109" s="51">
        <v>225</v>
      </c>
      <c r="P109" s="51">
        <f t="shared" si="9"/>
        <v>225</v>
      </c>
      <c r="Q109" s="53">
        <f t="shared" si="7"/>
        <v>41230.395213347569</v>
      </c>
    </row>
    <row r="110" spans="1:17">
      <c r="A110" s="1" t="s">
        <v>162</v>
      </c>
      <c r="B110" s="1" t="s">
        <v>163</v>
      </c>
      <c r="D110" s="9">
        <f>+assessment!H110</f>
        <v>2.4212620499047141E-2</v>
      </c>
      <c r="F110" s="2">
        <f>+assessment!J110</f>
        <v>1267052.513651785</v>
      </c>
      <c r="H110" s="22">
        <v>-1090110.8671654975</v>
      </c>
      <c r="J110" s="4">
        <f t="shared" si="8"/>
        <v>176941.64648628747</v>
      </c>
      <c r="K110" s="22">
        <v>-1350</v>
      </c>
      <c r="L110" s="22">
        <f t="shared" si="5"/>
        <v>-1091460.8671654975</v>
      </c>
      <c r="M110" s="66">
        <v>6</v>
      </c>
      <c r="N110" s="67">
        <v>0</v>
      </c>
      <c r="O110" s="51">
        <v>225</v>
      </c>
      <c r="P110" s="51">
        <f t="shared" si="9"/>
        <v>0</v>
      </c>
      <c r="Q110" s="53">
        <f t="shared" si="7"/>
        <v>176941.64648628747</v>
      </c>
    </row>
    <row r="111" spans="1:17">
      <c r="A111" s="1" t="s">
        <v>164</v>
      </c>
      <c r="B111" s="1" t="s">
        <v>165</v>
      </c>
      <c r="D111" s="9">
        <f>+assessment!H111</f>
        <v>3.0632638053763551E-3</v>
      </c>
      <c r="F111" s="2">
        <f>+assessment!J111</f>
        <v>160301.3645191105</v>
      </c>
      <c r="H111" s="22">
        <v>-137917.49785117665</v>
      </c>
      <c r="J111" s="4">
        <f t="shared" si="8"/>
        <v>22383.866667933849</v>
      </c>
      <c r="K111" s="22">
        <v>-450</v>
      </c>
      <c r="L111" s="22">
        <f t="shared" si="5"/>
        <v>-138367.49785117665</v>
      </c>
      <c r="M111" s="66">
        <v>2</v>
      </c>
      <c r="N111" s="67">
        <v>0</v>
      </c>
      <c r="O111" s="51">
        <v>225</v>
      </c>
      <c r="P111" s="51">
        <f t="shared" si="9"/>
        <v>0</v>
      </c>
      <c r="Q111" s="53">
        <f t="shared" si="7"/>
        <v>22383.866667933849</v>
      </c>
    </row>
    <row r="112" spans="1:17">
      <c r="A112" s="1" t="s">
        <v>166</v>
      </c>
      <c r="B112" s="1" t="s">
        <v>167</v>
      </c>
      <c r="D112" s="9">
        <f>+assessment!H112</f>
        <v>1.7478090619603677E-3</v>
      </c>
      <c r="F112" s="2">
        <f>+assessment!J112</f>
        <v>91463.287314456684</v>
      </c>
      <c r="H112" s="22">
        <v>-78691.069676769024</v>
      </c>
      <c r="J112" s="4">
        <f t="shared" si="8"/>
        <v>12772.21763768766</v>
      </c>
      <c r="K112" s="22">
        <v>0</v>
      </c>
      <c r="L112" s="22">
        <f t="shared" si="5"/>
        <v>-78691.069676769024</v>
      </c>
      <c r="M112" s="66">
        <v>0</v>
      </c>
      <c r="N112" s="67">
        <v>0</v>
      </c>
      <c r="O112" s="51">
        <v>225</v>
      </c>
      <c r="P112" s="51">
        <f t="shared" si="9"/>
        <v>0</v>
      </c>
      <c r="Q112" s="53">
        <f t="shared" si="7"/>
        <v>12772.21763768766</v>
      </c>
    </row>
    <row r="113" spans="1:17">
      <c r="A113" s="1" t="s">
        <v>168</v>
      </c>
      <c r="B113" s="1" t="s">
        <v>169</v>
      </c>
      <c r="D113" s="9">
        <f>+assessment!H113</f>
        <v>1.8162817067821967E-3</v>
      </c>
      <c r="F113" s="2">
        <f>+assessment!J113</f>
        <v>95046.478020365554</v>
      </c>
      <c r="H113" s="22">
        <v>-81773.980995617021</v>
      </c>
      <c r="J113" s="4">
        <f t="shared" si="8"/>
        <v>13272.497024748533</v>
      </c>
      <c r="K113" s="22">
        <v>0</v>
      </c>
      <c r="L113" s="22">
        <f t="shared" si="5"/>
        <v>-81773.980995617021</v>
      </c>
      <c r="M113" s="66">
        <v>0</v>
      </c>
      <c r="N113" s="67">
        <v>0</v>
      </c>
      <c r="O113" s="51">
        <v>225</v>
      </c>
      <c r="P113" s="51">
        <f t="shared" si="9"/>
        <v>0</v>
      </c>
      <c r="Q113" s="53">
        <f t="shared" si="7"/>
        <v>13272.497024748533</v>
      </c>
    </row>
    <row r="114" spans="1:17">
      <c r="A114" s="1" t="s">
        <v>170</v>
      </c>
      <c r="B114" s="11" t="s">
        <v>546</v>
      </c>
      <c r="D114" s="9">
        <f>+assessment!H114</f>
        <v>1.0209119245610356E-2</v>
      </c>
      <c r="F114" s="2">
        <f>+assessment!J114</f>
        <v>534245.77495981799</v>
      </c>
      <c r="H114" s="22">
        <v>-459649.81659598066</v>
      </c>
      <c r="J114" s="4">
        <f t="shared" si="8"/>
        <v>74595.95836383733</v>
      </c>
      <c r="K114" s="22">
        <v>0</v>
      </c>
      <c r="L114" s="22">
        <f t="shared" si="5"/>
        <v>-459649.81659598066</v>
      </c>
      <c r="M114" s="66">
        <v>0</v>
      </c>
      <c r="N114" s="67">
        <v>0</v>
      </c>
      <c r="O114" s="51">
        <v>225</v>
      </c>
      <c r="P114" s="51">
        <f t="shared" si="9"/>
        <v>0</v>
      </c>
      <c r="Q114" s="53">
        <f t="shared" si="7"/>
        <v>74595.95836383733</v>
      </c>
    </row>
    <row r="115" spans="1:17">
      <c r="A115" s="1" t="s">
        <v>171</v>
      </c>
      <c r="B115" s="1" t="s">
        <v>172</v>
      </c>
      <c r="D115" s="9">
        <f>+assessment!H115</f>
        <v>1.5111323513261691E-2</v>
      </c>
      <c r="F115" s="2">
        <f>+assessment!J115</f>
        <v>790779.35586679063</v>
      </c>
      <c r="H115" s="22">
        <v>-680352.98252842133</v>
      </c>
      <c r="J115" s="4">
        <f t="shared" si="8"/>
        <v>110426.3733383693</v>
      </c>
      <c r="K115" s="22">
        <v>-225</v>
      </c>
      <c r="L115" s="22">
        <f t="shared" si="5"/>
        <v>-680577.98252842133</v>
      </c>
      <c r="M115" s="66">
        <v>1</v>
      </c>
      <c r="N115" s="67">
        <v>0</v>
      </c>
      <c r="O115" s="51">
        <v>225</v>
      </c>
      <c r="P115" s="51">
        <f t="shared" si="9"/>
        <v>0</v>
      </c>
      <c r="Q115" s="53">
        <f t="shared" si="7"/>
        <v>110426.3733383693</v>
      </c>
    </row>
    <row r="116" spans="1:17">
      <c r="A116" s="1" t="s">
        <v>173</v>
      </c>
      <c r="B116" s="1" t="s">
        <v>174</v>
      </c>
      <c r="D116" s="9">
        <f>+assessment!H116</f>
        <v>6.2522820065371732E-3</v>
      </c>
      <c r="F116" s="2">
        <f>+assessment!J116</f>
        <v>327183.48816289881</v>
      </c>
      <c r="H116" s="22">
        <v>-281495.8256011075</v>
      </c>
      <c r="J116" s="4">
        <f t="shared" si="8"/>
        <v>45687.662561791309</v>
      </c>
      <c r="K116" s="22">
        <v>-225</v>
      </c>
      <c r="L116" s="22">
        <f t="shared" si="5"/>
        <v>-281720.8256011075</v>
      </c>
      <c r="M116" s="66">
        <v>1</v>
      </c>
      <c r="N116" s="67">
        <v>0</v>
      </c>
      <c r="O116" s="51">
        <v>225</v>
      </c>
      <c r="P116" s="51">
        <f t="shared" si="9"/>
        <v>0</v>
      </c>
      <c r="Q116" s="53">
        <f t="shared" si="7"/>
        <v>45687.662561791309</v>
      </c>
    </row>
    <row r="117" spans="1:17">
      <c r="A117" s="1" t="s">
        <v>175</v>
      </c>
      <c r="B117" s="11" t="s">
        <v>541</v>
      </c>
      <c r="D117" s="9">
        <f>+assessment!H117</f>
        <v>1.1543901564395852E-2</v>
      </c>
      <c r="F117" s="2">
        <f>+assessment!J117</f>
        <v>604095.26903922495</v>
      </c>
      <c r="H117" s="22">
        <v>-519739.93516473181</v>
      </c>
      <c r="J117" s="4">
        <f t="shared" si="8"/>
        <v>84355.333874493139</v>
      </c>
      <c r="K117" s="22">
        <v>-225</v>
      </c>
      <c r="L117" s="22">
        <f t="shared" si="5"/>
        <v>-519964.93516473181</v>
      </c>
      <c r="M117" s="66">
        <v>1</v>
      </c>
      <c r="N117" s="67">
        <v>0</v>
      </c>
      <c r="O117" s="51">
        <v>225</v>
      </c>
      <c r="P117" s="51">
        <f t="shared" si="9"/>
        <v>0</v>
      </c>
      <c r="Q117" s="53">
        <f t="shared" si="7"/>
        <v>84355.333874493139</v>
      </c>
    </row>
    <row r="118" spans="1:17">
      <c r="A118" s="1" t="s">
        <v>176</v>
      </c>
      <c r="B118" s="1" t="s">
        <v>177</v>
      </c>
      <c r="D118" s="9">
        <f>+assessment!H118</f>
        <v>1.0544131853210672E-3</v>
      </c>
      <c r="F118" s="2">
        <f>+assessment!J118</f>
        <v>55177.706888075998</v>
      </c>
      <c r="H118" s="22">
        <v>-46703.277516598813</v>
      </c>
      <c r="J118" s="4">
        <f t="shared" si="8"/>
        <v>8474.4293714771848</v>
      </c>
      <c r="K118" s="22">
        <v>0</v>
      </c>
      <c r="L118" s="22">
        <f t="shared" si="5"/>
        <v>-46703.277516598813</v>
      </c>
      <c r="M118" s="66">
        <v>0</v>
      </c>
      <c r="N118" s="67">
        <v>0</v>
      </c>
      <c r="O118" s="51">
        <v>225</v>
      </c>
      <c r="P118" s="51">
        <f t="shared" si="9"/>
        <v>0</v>
      </c>
      <c r="Q118" s="53">
        <f t="shared" si="7"/>
        <v>8474.4293714771848</v>
      </c>
    </row>
    <row r="119" spans="1:17">
      <c r="A119" s="1" t="s">
        <v>178</v>
      </c>
      <c r="B119" s="1" t="s">
        <v>524</v>
      </c>
      <c r="D119" s="9">
        <f>+assessment!H119</f>
        <v>1.2210898557483751E-4</v>
      </c>
      <c r="F119" s="2">
        <f>+assessment!J119</f>
        <v>6389.9938925716933</v>
      </c>
      <c r="H119" s="22">
        <v>-5497.9666747671781</v>
      </c>
      <c r="J119" s="4">
        <f t="shared" si="8"/>
        <v>892.0272178045152</v>
      </c>
      <c r="K119" s="22">
        <v>0</v>
      </c>
      <c r="L119" s="22">
        <f t="shared" si="5"/>
        <v>-5497.9666747671781</v>
      </c>
      <c r="M119" s="66">
        <v>0</v>
      </c>
      <c r="N119" s="67">
        <v>0</v>
      </c>
      <c r="O119" s="51">
        <v>225</v>
      </c>
      <c r="P119" s="51">
        <f t="shared" si="9"/>
        <v>0</v>
      </c>
      <c r="Q119" s="53">
        <f t="shared" si="7"/>
        <v>892.0272178045152</v>
      </c>
    </row>
    <row r="120" spans="1:17">
      <c r="A120" s="1" t="s">
        <v>179</v>
      </c>
      <c r="B120" s="1" t="s">
        <v>180</v>
      </c>
      <c r="D120" s="9">
        <f>+assessment!H120</f>
        <v>3.6771639614366198E-3</v>
      </c>
      <c r="F120" s="2">
        <f>+assessment!J120</f>
        <v>192426.91391588037</v>
      </c>
      <c r="H120" s="22">
        <v>-165554.11815021891</v>
      </c>
      <c r="J120" s="4">
        <f t="shared" si="8"/>
        <v>26872.79576566146</v>
      </c>
      <c r="K120" s="22">
        <v>-900</v>
      </c>
      <c r="L120" s="22">
        <f t="shared" si="5"/>
        <v>-166454.11815021891</v>
      </c>
      <c r="M120" s="66">
        <v>4</v>
      </c>
      <c r="N120" s="67">
        <v>0</v>
      </c>
      <c r="O120" s="51">
        <v>225</v>
      </c>
      <c r="P120" s="51">
        <f t="shared" si="9"/>
        <v>0</v>
      </c>
      <c r="Q120" s="53">
        <f t="shared" si="7"/>
        <v>26872.79576566146</v>
      </c>
    </row>
    <row r="121" spans="1:17">
      <c r="A121" s="1" t="s">
        <v>181</v>
      </c>
      <c r="B121" s="1" t="s">
        <v>182</v>
      </c>
      <c r="D121" s="9">
        <f>+assessment!H121</f>
        <v>4.7814350175326972E-3</v>
      </c>
      <c r="F121" s="2">
        <f>+assessment!J121</f>
        <v>250213.69570740551</v>
      </c>
      <c r="H121" s="22">
        <v>-215273.05930698986</v>
      </c>
      <c r="J121" s="4">
        <f t="shared" si="8"/>
        <v>34940.636400415649</v>
      </c>
      <c r="K121" s="22">
        <v>-450</v>
      </c>
      <c r="L121" s="22">
        <f t="shared" si="5"/>
        <v>-215723.05930698986</v>
      </c>
      <c r="M121" s="66">
        <v>2</v>
      </c>
      <c r="N121" s="67">
        <v>0</v>
      </c>
      <c r="O121" s="51">
        <v>225</v>
      </c>
      <c r="P121" s="51">
        <f t="shared" si="9"/>
        <v>0</v>
      </c>
      <c r="Q121" s="53">
        <f t="shared" si="7"/>
        <v>34940.636400415649</v>
      </c>
    </row>
    <row r="122" spans="1:17">
      <c r="A122" s="1" t="s">
        <v>469</v>
      </c>
      <c r="B122" s="1" t="s">
        <v>470</v>
      </c>
      <c r="D122" s="9">
        <f>+assessment!H122</f>
        <v>7.3566560452599007E-4</v>
      </c>
      <c r="F122" s="2">
        <f>+assessment!J122</f>
        <v>38497.565906114891</v>
      </c>
      <c r="H122" s="22">
        <v>-33122.197414488473</v>
      </c>
      <c r="J122" s="4">
        <f t="shared" si="8"/>
        <v>5375.3684916264174</v>
      </c>
      <c r="K122" s="22">
        <v>0</v>
      </c>
      <c r="L122" s="22">
        <f t="shared" si="5"/>
        <v>-33122.197414488473</v>
      </c>
      <c r="M122" s="66">
        <v>0</v>
      </c>
      <c r="N122" s="67">
        <v>0</v>
      </c>
      <c r="O122" s="51">
        <v>225</v>
      </c>
      <c r="P122" s="51">
        <f t="shared" si="9"/>
        <v>0</v>
      </c>
      <c r="Q122" s="53">
        <f t="shared" si="7"/>
        <v>5375.3684916264174</v>
      </c>
    </row>
    <row r="123" spans="1:17">
      <c r="A123" s="1" t="s">
        <v>183</v>
      </c>
      <c r="B123" s="1" t="s">
        <v>487</v>
      </c>
      <c r="D123" s="9">
        <f>+assessment!H123</f>
        <v>1.0762364203465932E-3</v>
      </c>
      <c r="F123" s="2">
        <f>+assessment!J123</f>
        <v>56319.722259613111</v>
      </c>
      <c r="H123" s="22">
        <v>-48455.533534768663</v>
      </c>
      <c r="J123" s="4">
        <f t="shared" si="8"/>
        <v>7864.1887248444473</v>
      </c>
      <c r="K123" s="22">
        <v>-450</v>
      </c>
      <c r="L123" s="22">
        <f t="shared" si="5"/>
        <v>-48905.533534768663</v>
      </c>
      <c r="M123" s="66">
        <v>2</v>
      </c>
      <c r="N123" s="67">
        <v>0</v>
      </c>
      <c r="O123" s="51">
        <v>225</v>
      </c>
      <c r="P123" s="51">
        <f t="shared" si="9"/>
        <v>0</v>
      </c>
      <c r="Q123" s="53">
        <f t="shared" si="7"/>
        <v>7864.1887248444473</v>
      </c>
    </row>
    <row r="124" spans="1:17">
      <c r="A124" s="1" t="s">
        <v>184</v>
      </c>
      <c r="B124" s="1" t="s">
        <v>185</v>
      </c>
      <c r="D124" s="9">
        <f>+assessment!H124</f>
        <v>1.8712106596446487E-3</v>
      </c>
      <c r="F124" s="2">
        <f>+assessment!J124</f>
        <v>97920.923923458497</v>
      </c>
      <c r="H124" s="22">
        <v>-84247.325475334146</v>
      </c>
      <c r="J124" s="4">
        <f t="shared" si="8"/>
        <v>13673.59844812435</v>
      </c>
      <c r="K124" s="22">
        <v>-225</v>
      </c>
      <c r="L124" s="22">
        <f t="shared" si="5"/>
        <v>-84472.325475334146</v>
      </c>
      <c r="M124" s="66">
        <v>1</v>
      </c>
      <c r="N124" s="67">
        <v>0</v>
      </c>
      <c r="O124" s="51">
        <v>225</v>
      </c>
      <c r="P124" s="51">
        <f t="shared" si="9"/>
        <v>0</v>
      </c>
      <c r="Q124" s="53">
        <f t="shared" si="7"/>
        <v>13673.59844812435</v>
      </c>
    </row>
    <row r="125" spans="1:17">
      <c r="A125" s="1" t="s">
        <v>534</v>
      </c>
      <c r="B125" s="1" t="s">
        <v>535</v>
      </c>
      <c r="D125" s="9">
        <f>+assessment!H125</f>
        <v>8.6638731391370594E-4</v>
      </c>
      <c r="F125" s="2">
        <f>+assessment!J125</f>
        <v>45338.265799589113</v>
      </c>
      <c r="H125" s="22">
        <v>-39007.820786094861</v>
      </c>
      <c r="J125" s="4">
        <f t="shared" si="8"/>
        <v>6330.4450134942526</v>
      </c>
      <c r="K125" s="22">
        <v>0</v>
      </c>
      <c r="L125" s="22">
        <f t="shared" si="5"/>
        <v>-39007.820786094861</v>
      </c>
      <c r="M125" s="66">
        <v>0</v>
      </c>
      <c r="N125" s="67">
        <v>0</v>
      </c>
      <c r="O125" s="51">
        <v>225</v>
      </c>
      <c r="P125" s="51">
        <f t="shared" si="9"/>
        <v>0</v>
      </c>
      <c r="Q125" s="53">
        <f t="shared" si="7"/>
        <v>6330.4450134942526</v>
      </c>
    </row>
    <row r="126" spans="1:17">
      <c r="A126" s="11" t="s">
        <v>551</v>
      </c>
      <c r="B126" s="11" t="s">
        <v>546</v>
      </c>
      <c r="D126" s="9">
        <f>+assessment!H126</f>
        <v>4.954357849883741E-3</v>
      </c>
      <c r="F126" s="2">
        <f>+assessment!J126</f>
        <v>259262.79096773881</v>
      </c>
      <c r="H126" s="22">
        <v>-223062.16982350458</v>
      </c>
      <c r="J126" s="4">
        <f>SUM(F126:H126)</f>
        <v>36200.621144234232</v>
      </c>
      <c r="K126" s="22">
        <v>0</v>
      </c>
      <c r="L126" s="22">
        <f t="shared" si="5"/>
        <v>-223062.16982350458</v>
      </c>
      <c r="M126" s="66">
        <v>0</v>
      </c>
      <c r="N126" s="67">
        <v>0</v>
      </c>
      <c r="O126" s="51">
        <v>225</v>
      </c>
      <c r="P126" s="51">
        <f t="shared" si="9"/>
        <v>0</v>
      </c>
      <c r="Q126" s="53">
        <f t="shared" si="7"/>
        <v>36200.621144234232</v>
      </c>
    </row>
    <row r="127" spans="1:17">
      <c r="A127" s="1" t="s">
        <v>186</v>
      </c>
      <c r="B127" s="1" t="s">
        <v>187</v>
      </c>
      <c r="D127" s="9">
        <f>+assessment!H127</f>
        <v>5.1713892160178316E-4</v>
      </c>
      <c r="F127" s="2">
        <f>+assessment!J127</f>
        <v>27062.009688232589</v>
      </c>
      <c r="H127" s="22">
        <v>-23283.77140334541</v>
      </c>
      <c r="J127" s="4">
        <f t="shared" si="8"/>
        <v>3778.2382848871785</v>
      </c>
      <c r="K127" s="22">
        <v>-450</v>
      </c>
      <c r="L127" s="22">
        <f t="shared" si="5"/>
        <v>-23733.77140334541</v>
      </c>
      <c r="M127" s="66">
        <v>2</v>
      </c>
      <c r="N127" s="67">
        <v>0</v>
      </c>
      <c r="O127" s="51">
        <v>225</v>
      </c>
      <c r="P127" s="51">
        <f t="shared" si="9"/>
        <v>0</v>
      </c>
      <c r="Q127" s="53">
        <f t="shared" si="7"/>
        <v>3778.2382848871785</v>
      </c>
    </row>
    <row r="128" spans="1:17">
      <c r="A128" s="1" t="s">
        <v>188</v>
      </c>
      <c r="B128" s="1" t="s">
        <v>525</v>
      </c>
      <c r="D128" s="9">
        <f>+assessment!H128</f>
        <v>2.0173868750279899E-4</v>
      </c>
      <c r="F128" s="2">
        <f>+assessment!J128</f>
        <v>10557.036199831933</v>
      </c>
      <c r="H128" s="22">
        <v>-9083.08269623058</v>
      </c>
      <c r="J128" s="4">
        <f t="shared" si="8"/>
        <v>1473.9535036013531</v>
      </c>
      <c r="K128" s="22">
        <v>-225</v>
      </c>
      <c r="L128" s="22">
        <f t="shared" si="5"/>
        <v>-9308.08269623058</v>
      </c>
      <c r="M128" s="66">
        <v>1</v>
      </c>
      <c r="N128" s="67">
        <v>0</v>
      </c>
      <c r="O128" s="51">
        <v>225</v>
      </c>
      <c r="P128" s="51">
        <f t="shared" si="9"/>
        <v>0</v>
      </c>
      <c r="Q128" s="53">
        <f t="shared" si="7"/>
        <v>1473.9535036013531</v>
      </c>
    </row>
    <row r="129" spans="1:17">
      <c r="A129" s="1" t="s">
        <v>189</v>
      </c>
      <c r="B129" s="1" t="s">
        <v>190</v>
      </c>
      <c r="D129" s="9">
        <f>+assessment!H129</f>
        <v>2.271188571182043E-3</v>
      </c>
      <c r="F129" s="2">
        <f>+assessment!J129</f>
        <v>118851.86852066105</v>
      </c>
      <c r="H129" s="22">
        <v>-102257.12611682987</v>
      </c>
      <c r="J129" s="4">
        <f t="shared" si="8"/>
        <v>16594.742403831187</v>
      </c>
      <c r="K129" s="22">
        <v>-675</v>
      </c>
      <c r="L129" s="22">
        <f t="shared" si="5"/>
        <v>-102932.12611682987</v>
      </c>
      <c r="M129" s="66">
        <v>3</v>
      </c>
      <c r="N129" s="67">
        <v>1</v>
      </c>
      <c r="O129" s="51">
        <v>225</v>
      </c>
      <c r="P129" s="51">
        <f t="shared" si="9"/>
        <v>225</v>
      </c>
      <c r="Q129" s="53">
        <f t="shared" si="7"/>
        <v>16819.742403831187</v>
      </c>
    </row>
    <row r="130" spans="1:17">
      <c r="A130" s="1" t="s">
        <v>191</v>
      </c>
      <c r="B130" s="1" t="s">
        <v>526</v>
      </c>
      <c r="D130" s="9">
        <f>+assessment!H130</f>
        <v>2.8650642088660677E-4</v>
      </c>
      <c r="F130" s="2">
        <f>+assessment!J130</f>
        <v>14992.952984004252</v>
      </c>
      <c r="H130" s="22">
        <v>-12899.510202852263</v>
      </c>
      <c r="J130" s="4">
        <f t="shared" si="8"/>
        <v>2093.442781151989</v>
      </c>
      <c r="K130" s="22">
        <v>-225</v>
      </c>
      <c r="L130" s="22">
        <f t="shared" si="5"/>
        <v>-13124.510202852263</v>
      </c>
      <c r="M130" s="66">
        <v>1</v>
      </c>
      <c r="N130" s="67">
        <v>0</v>
      </c>
      <c r="O130" s="51">
        <v>225</v>
      </c>
      <c r="P130" s="51">
        <f t="shared" si="9"/>
        <v>0</v>
      </c>
      <c r="Q130" s="53">
        <f t="shared" si="7"/>
        <v>2093.442781151989</v>
      </c>
    </row>
    <row r="131" spans="1:17">
      <c r="A131" s="1" t="s">
        <v>192</v>
      </c>
      <c r="B131" s="1" t="s">
        <v>527</v>
      </c>
      <c r="D131" s="9">
        <f>+assessment!H131</f>
        <v>1.1856310136097498E-3</v>
      </c>
      <c r="F131" s="2">
        <f>+assessment!J131</f>
        <v>62044.368808277759</v>
      </c>
      <c r="H131" s="22">
        <v>-53378.647766032693</v>
      </c>
      <c r="J131" s="4">
        <f t="shared" si="8"/>
        <v>8665.7210422450662</v>
      </c>
      <c r="K131" s="22">
        <v>-225</v>
      </c>
      <c r="L131" s="22">
        <f t="shared" si="5"/>
        <v>-53603.647766032693</v>
      </c>
      <c r="M131" s="66">
        <v>1</v>
      </c>
      <c r="N131" s="67">
        <v>0</v>
      </c>
      <c r="O131" s="51">
        <v>225</v>
      </c>
      <c r="P131" s="51">
        <f t="shared" si="9"/>
        <v>0</v>
      </c>
      <c r="Q131" s="53">
        <f t="shared" si="7"/>
        <v>8665.7210422450662</v>
      </c>
    </row>
    <row r="132" spans="1:17">
      <c r="A132" s="1" t="s">
        <v>193</v>
      </c>
      <c r="B132" s="1" t="s">
        <v>488</v>
      </c>
      <c r="D132" s="9">
        <f>+assessment!H132</f>
        <v>3.6945084917750285E-4</v>
      </c>
      <c r="F132" s="2">
        <f>+assessment!J132</f>
        <v>19333.455754595565</v>
      </c>
      <c r="H132" s="22">
        <v>-16633.859416001527</v>
      </c>
      <c r="J132" s="4">
        <f t="shared" si="8"/>
        <v>2699.5963385940377</v>
      </c>
      <c r="K132" s="22">
        <v>0</v>
      </c>
      <c r="L132" s="22">
        <f t="shared" si="5"/>
        <v>-16633.859416001527</v>
      </c>
      <c r="M132" s="66">
        <v>0</v>
      </c>
      <c r="N132" s="67">
        <v>0</v>
      </c>
      <c r="O132" s="51">
        <v>225</v>
      </c>
      <c r="P132" s="51">
        <f t="shared" si="9"/>
        <v>0</v>
      </c>
      <c r="Q132" s="53">
        <f t="shared" si="7"/>
        <v>2699.5963385940377</v>
      </c>
    </row>
    <row r="133" spans="1:17">
      <c r="A133" s="1" t="s">
        <v>194</v>
      </c>
      <c r="B133" s="1" t="s">
        <v>528</v>
      </c>
      <c r="D133" s="9">
        <f>+assessment!H133</f>
        <v>2.0821497397528158E-2</v>
      </c>
      <c r="F133" s="2">
        <f>+assessment!J133</f>
        <v>1089594.1897974398</v>
      </c>
      <c r="H133" s="22">
        <v>-937420.65361642186</v>
      </c>
      <c r="J133" s="4">
        <f t="shared" si="8"/>
        <v>152173.53618101799</v>
      </c>
      <c r="K133" s="22">
        <v>-900</v>
      </c>
      <c r="L133" s="22">
        <f t="shared" ref="L133:L139" si="10">H133+K133</f>
        <v>-938320.65361642186</v>
      </c>
      <c r="M133" s="66">
        <v>4</v>
      </c>
      <c r="N133" s="67">
        <v>0</v>
      </c>
      <c r="O133" s="51">
        <v>225</v>
      </c>
      <c r="P133" s="51">
        <f t="shared" si="9"/>
        <v>0</v>
      </c>
      <c r="Q133" s="53">
        <f t="shared" ref="Q133:Q139" si="11">P133+J133</f>
        <v>152173.53618101799</v>
      </c>
    </row>
    <row r="134" spans="1:17">
      <c r="A134" s="1" t="s">
        <v>195</v>
      </c>
      <c r="B134" s="1" t="s">
        <v>196</v>
      </c>
      <c r="D134" s="9">
        <f>+assessment!H134</f>
        <v>8.6655768151596769E-4</v>
      </c>
      <c r="F134" s="2">
        <f>+assessment!J134</f>
        <v>45347.181179016923</v>
      </c>
      <c r="H134" s="22">
        <v>-39014.701684186977</v>
      </c>
      <c r="J134" s="4">
        <f t="shared" si="8"/>
        <v>6332.4794948299459</v>
      </c>
      <c r="K134" s="22">
        <v>-225</v>
      </c>
      <c r="L134" s="22">
        <f t="shared" si="10"/>
        <v>-39239.701684186977</v>
      </c>
      <c r="M134" s="66">
        <v>1</v>
      </c>
      <c r="N134" s="67">
        <v>0</v>
      </c>
      <c r="O134" s="51">
        <v>225</v>
      </c>
      <c r="P134" s="51">
        <f t="shared" si="9"/>
        <v>0</v>
      </c>
      <c r="Q134" s="53">
        <f t="shared" si="11"/>
        <v>6332.4794948299459</v>
      </c>
    </row>
    <row r="135" spans="1:17">
      <c r="A135" s="1" t="s">
        <v>197</v>
      </c>
      <c r="B135" s="1" t="s">
        <v>198</v>
      </c>
      <c r="D135" s="9">
        <f>+assessment!H135</f>
        <v>5.8668802298137074E-4</v>
      </c>
      <c r="F135" s="2">
        <f>+assessment!J135</f>
        <v>30701.531636247146</v>
      </c>
      <c r="H135" s="22">
        <v>-26414.309591257879</v>
      </c>
      <c r="J135" s="4">
        <f t="shared" si="8"/>
        <v>4287.2220449892666</v>
      </c>
      <c r="K135" s="22">
        <v>-225</v>
      </c>
      <c r="L135" s="22">
        <f t="shared" si="10"/>
        <v>-26639.309591257879</v>
      </c>
      <c r="M135" s="66">
        <v>1</v>
      </c>
      <c r="N135" s="67">
        <v>0</v>
      </c>
      <c r="O135" s="51">
        <v>225</v>
      </c>
      <c r="P135" s="51">
        <f t="shared" si="9"/>
        <v>0</v>
      </c>
      <c r="Q135" s="53">
        <f t="shared" si="11"/>
        <v>4287.2220449892666</v>
      </c>
    </row>
    <row r="136" spans="1:17">
      <c r="A136" s="1" t="s">
        <v>199</v>
      </c>
      <c r="B136" s="1" t="s">
        <v>200</v>
      </c>
      <c r="D136" s="9">
        <f>+assessment!H136</f>
        <v>1.9742203404263744E-5</v>
      </c>
      <c r="F136" s="2">
        <f>+assessment!J136</f>
        <v>1033.1144639788831</v>
      </c>
      <c r="H136" s="22">
        <v>-888.86433210237976</v>
      </c>
      <c r="J136" s="4">
        <f t="shared" si="8"/>
        <v>144.25013187650336</v>
      </c>
      <c r="K136" s="22">
        <v>0</v>
      </c>
      <c r="L136" s="22">
        <f t="shared" si="10"/>
        <v>-888.86433210237976</v>
      </c>
      <c r="M136" s="66">
        <v>0</v>
      </c>
      <c r="N136" s="67">
        <v>0</v>
      </c>
      <c r="O136" s="51">
        <v>225</v>
      </c>
      <c r="P136" s="51">
        <f t="shared" si="9"/>
        <v>0</v>
      </c>
      <c r="Q136" s="53">
        <f t="shared" si="11"/>
        <v>144.25013187650336</v>
      </c>
    </row>
    <row r="137" spans="1:17">
      <c r="A137" s="1" t="s">
        <v>201</v>
      </c>
      <c r="B137" s="1" t="s">
        <v>450</v>
      </c>
      <c r="D137" s="9">
        <f>+assessment!H137</f>
        <v>1.1947918297441095E-5</v>
      </c>
      <c r="F137" s="2">
        <f>+assessment!J137</f>
        <v>625.23756618060645</v>
      </c>
      <c r="H137" s="22">
        <v>-537.95468391721215</v>
      </c>
      <c r="J137" s="4">
        <f t="shared" si="8"/>
        <v>87.282882263394299</v>
      </c>
      <c r="K137" s="22">
        <v>0</v>
      </c>
      <c r="L137" s="22">
        <f t="shared" si="10"/>
        <v>-537.95468391721215</v>
      </c>
      <c r="M137" s="66">
        <v>0</v>
      </c>
      <c r="N137" s="67">
        <v>0</v>
      </c>
      <c r="O137" s="51">
        <v>225</v>
      </c>
      <c r="P137" s="51">
        <f t="shared" si="9"/>
        <v>0</v>
      </c>
      <c r="Q137" s="53">
        <f t="shared" si="11"/>
        <v>87.282882263394299</v>
      </c>
    </row>
    <row r="138" spans="1:17">
      <c r="A138" s="1" t="s">
        <v>567</v>
      </c>
      <c r="B138" s="1" t="s">
        <v>569</v>
      </c>
      <c r="D138" s="9">
        <f>+assessment!H138</f>
        <v>1.5628939657415151E-5</v>
      </c>
      <c r="F138" s="2">
        <f>+assessment!J138</f>
        <v>817.86633873104506</v>
      </c>
      <c r="H138" s="22">
        <v>-703.65856864920647</v>
      </c>
      <c r="J138" s="4">
        <f t="shared" si="8"/>
        <v>114.20777008183859</v>
      </c>
      <c r="K138" s="22">
        <v>0</v>
      </c>
      <c r="L138" s="22">
        <f t="shared" si="10"/>
        <v>-703.65856864920647</v>
      </c>
      <c r="M138" s="66">
        <v>0</v>
      </c>
      <c r="N138" s="67">
        <v>0</v>
      </c>
      <c r="O138" s="51">
        <v>225</v>
      </c>
      <c r="P138" s="51">
        <f t="shared" si="9"/>
        <v>0</v>
      </c>
      <c r="Q138" s="53">
        <f t="shared" si="11"/>
        <v>114.20777008183859</v>
      </c>
    </row>
    <row r="139" spans="1:17">
      <c r="A139" s="1" t="s">
        <v>568</v>
      </c>
      <c r="B139" s="1" t="s">
        <v>570</v>
      </c>
      <c r="D139" s="9">
        <f>+assessment!H139</f>
        <v>2.1583516411489379E-4</v>
      </c>
      <c r="F139" s="2">
        <f>+assessment!J139</f>
        <v>11294.708362400674</v>
      </c>
      <c r="H139" s="22">
        <v>-9717.9713571199318</v>
      </c>
      <c r="J139" s="4">
        <f t="shared" si="8"/>
        <v>1576.7370052807419</v>
      </c>
      <c r="K139" s="22">
        <v>0</v>
      </c>
      <c r="L139" s="22">
        <f t="shared" si="10"/>
        <v>-9717.9713571199318</v>
      </c>
      <c r="M139" s="66">
        <v>0</v>
      </c>
      <c r="N139" s="67">
        <v>0</v>
      </c>
      <c r="O139" s="51">
        <v>225</v>
      </c>
      <c r="P139" s="51">
        <f t="shared" si="9"/>
        <v>0</v>
      </c>
      <c r="Q139" s="53">
        <f t="shared" si="11"/>
        <v>1576.7370052807419</v>
      </c>
    </row>
    <row r="140" spans="1:17" outlineLevel="1">
      <c r="A140" s="1" t="s">
        <v>202</v>
      </c>
      <c r="B140" s="1" t="s">
        <v>203</v>
      </c>
      <c r="D140" s="9">
        <f>+assessment!H140</f>
        <v>2.0633200944986593E-5</v>
      </c>
      <c r="F140" s="2">
        <f>+assessment!J140</f>
        <v>1079.7405891302219</v>
      </c>
      <c r="H140" s="22">
        <v>-928.97414458679987</v>
      </c>
      <c r="J140" s="4">
        <f t="shared" ref="J140:J203" si="12">SUM(F140:H140)</f>
        <v>150.76644454342204</v>
      </c>
      <c r="K140" s="22">
        <v>0</v>
      </c>
      <c r="L140" s="22">
        <f t="shared" ref="L140:L203" si="13">H140+K140</f>
        <v>-928.97414458679987</v>
      </c>
      <c r="M140" s="66">
        <v>0</v>
      </c>
      <c r="N140" s="67">
        <v>0</v>
      </c>
      <c r="O140" s="51">
        <v>225</v>
      </c>
      <c r="P140" s="51">
        <f t="shared" si="9"/>
        <v>0</v>
      </c>
      <c r="Q140" s="53">
        <f t="shared" ref="Q140:Q203" si="14">P140+J140</f>
        <v>150.76644454342204</v>
      </c>
    </row>
    <row r="141" spans="1:17" outlineLevel="1">
      <c r="A141" s="1" t="s">
        <v>204</v>
      </c>
      <c r="B141" s="1" t="s">
        <v>205</v>
      </c>
      <c r="D141" s="9">
        <f>+assessment!H141</f>
        <v>7.2661370296804268E-6</v>
      </c>
      <c r="F141" s="2">
        <f>+assessment!J141</f>
        <v>380.23877623478273</v>
      </c>
      <c r="H141" s="22">
        <v>-327.13853952724844</v>
      </c>
      <c r="J141" s="4">
        <f t="shared" si="12"/>
        <v>53.100236707534293</v>
      </c>
      <c r="K141" s="22">
        <v>0</v>
      </c>
      <c r="L141" s="22">
        <f t="shared" si="13"/>
        <v>-327.13853952724844</v>
      </c>
      <c r="M141" s="66">
        <v>0</v>
      </c>
      <c r="N141" s="67">
        <v>0</v>
      </c>
      <c r="O141" s="51">
        <v>225</v>
      </c>
      <c r="P141" s="51">
        <f t="shared" si="9"/>
        <v>0</v>
      </c>
      <c r="Q141" s="53">
        <f t="shared" si="14"/>
        <v>53.100236707534293</v>
      </c>
    </row>
    <row r="142" spans="1:17" outlineLevel="1">
      <c r="A142" s="1" t="s">
        <v>206</v>
      </c>
      <c r="B142" s="1" t="s">
        <v>207</v>
      </c>
      <c r="D142" s="9">
        <f>+assessment!H142</f>
        <v>2.6654054999596436E-5</v>
      </c>
      <c r="F142" s="2">
        <f>+assessment!J142</f>
        <v>1394.8133944271192</v>
      </c>
      <c r="H142" s="22">
        <v>-1200.0394463232462</v>
      </c>
      <c r="J142" s="4">
        <f t="shared" si="12"/>
        <v>194.77394810387295</v>
      </c>
      <c r="K142" s="22">
        <v>0</v>
      </c>
      <c r="L142" s="22">
        <f t="shared" si="13"/>
        <v>-1200.0394463232462</v>
      </c>
      <c r="M142" s="66">
        <v>0</v>
      </c>
      <c r="N142" s="67">
        <v>0</v>
      </c>
      <c r="O142" s="51">
        <v>225</v>
      </c>
      <c r="P142" s="51">
        <f t="shared" si="9"/>
        <v>0</v>
      </c>
      <c r="Q142" s="53">
        <f t="shared" si="14"/>
        <v>194.77394810387295</v>
      </c>
    </row>
    <row r="143" spans="1:17" outlineLevel="1">
      <c r="A143" s="1" t="s">
        <v>491</v>
      </c>
      <c r="B143" s="1" t="s">
        <v>559</v>
      </c>
      <c r="D143" s="9">
        <f>+assessment!H143</f>
        <v>5.6405274661477901E-5</v>
      </c>
      <c r="F143" s="2">
        <f>+assessment!J143</f>
        <v>2951.702193732292</v>
      </c>
      <c r="H143" s="22">
        <v>-2539.5500575170977</v>
      </c>
      <c r="J143" s="4">
        <f t="shared" si="12"/>
        <v>412.15213621519433</v>
      </c>
      <c r="K143" s="22">
        <v>0</v>
      </c>
      <c r="L143" s="22">
        <f t="shared" si="13"/>
        <v>-2539.5500575170977</v>
      </c>
      <c r="M143" s="66">
        <v>0</v>
      </c>
      <c r="N143" s="67">
        <v>0</v>
      </c>
      <c r="O143" s="51">
        <v>225</v>
      </c>
      <c r="P143" s="51">
        <f t="shared" si="9"/>
        <v>0</v>
      </c>
      <c r="Q143" s="53">
        <f t="shared" si="14"/>
        <v>412.15213621519433</v>
      </c>
    </row>
    <row r="144" spans="1:17" outlineLevel="1">
      <c r="A144" s="48" t="s">
        <v>595</v>
      </c>
      <c r="B144" s="48" t="s">
        <v>596</v>
      </c>
      <c r="D144" s="9">
        <f>+assessment!H144</f>
        <v>5.5157002562529711E-6</v>
      </c>
      <c r="F144" s="2">
        <f>+assessment!J144</f>
        <v>288.63798011909336</v>
      </c>
      <c r="H144" s="22">
        <v>-248.33193827135432</v>
      </c>
      <c r="J144" s="4">
        <f t="shared" si="12"/>
        <v>40.306041847739039</v>
      </c>
      <c r="K144" s="22">
        <v>0</v>
      </c>
      <c r="L144" s="22">
        <f t="shared" si="13"/>
        <v>-248.33193827135432</v>
      </c>
      <c r="M144" s="66">
        <v>0</v>
      </c>
      <c r="N144" s="67">
        <v>0</v>
      </c>
      <c r="O144" s="51">
        <v>225</v>
      </c>
      <c r="P144" s="51">
        <f t="shared" si="9"/>
        <v>0</v>
      </c>
      <c r="Q144" s="53">
        <f t="shared" si="14"/>
        <v>40.306041847739039</v>
      </c>
    </row>
    <row r="145" spans="1:17" outlineLevel="1">
      <c r="A145" s="1" t="s">
        <v>208</v>
      </c>
      <c r="B145" s="1" t="s">
        <v>209</v>
      </c>
      <c r="D145" s="9">
        <f>+assessment!H145</f>
        <v>2.8888451506246743E-5</v>
      </c>
      <c r="F145" s="2">
        <f>+assessment!J145</f>
        <v>1511.7399249675641</v>
      </c>
      <c r="H145" s="22">
        <v>-1300.643930635076</v>
      </c>
      <c r="J145" s="4">
        <f t="shared" si="12"/>
        <v>211.09599433248809</v>
      </c>
      <c r="K145" s="22">
        <v>-225</v>
      </c>
      <c r="L145" s="22">
        <f t="shared" si="13"/>
        <v>-1525.643930635076</v>
      </c>
      <c r="M145" s="66">
        <v>1</v>
      </c>
      <c r="N145" s="67">
        <v>0</v>
      </c>
      <c r="O145" s="51">
        <v>225</v>
      </c>
      <c r="P145" s="51">
        <f t="shared" si="9"/>
        <v>0</v>
      </c>
      <c r="Q145" s="53">
        <f t="shared" si="14"/>
        <v>211.09599433248809</v>
      </c>
    </row>
    <row r="146" spans="1:17" outlineLevel="1">
      <c r="A146" s="1" t="s">
        <v>210</v>
      </c>
      <c r="B146" s="1" t="s">
        <v>211</v>
      </c>
      <c r="D146" s="9">
        <f>+assessment!H146</f>
        <v>2.0385963884429134E-6</v>
      </c>
      <c r="F146" s="2">
        <f>+assessment!J146</f>
        <v>106.68026116378833</v>
      </c>
      <c r="H146" s="22">
        <v>-91.782230162715052</v>
      </c>
      <c r="J146" s="4">
        <f t="shared" si="12"/>
        <v>14.898031001073278</v>
      </c>
      <c r="K146" s="22">
        <v>0</v>
      </c>
      <c r="L146" s="22">
        <f t="shared" si="13"/>
        <v>-91.782230162715052</v>
      </c>
      <c r="M146" s="66">
        <v>0</v>
      </c>
      <c r="N146" s="67">
        <v>0</v>
      </c>
      <c r="O146" s="51">
        <v>225</v>
      </c>
      <c r="P146" s="51">
        <f t="shared" si="9"/>
        <v>0</v>
      </c>
      <c r="Q146" s="53">
        <f t="shared" si="14"/>
        <v>14.898031001073278</v>
      </c>
    </row>
    <row r="147" spans="1:17" outlineLevel="1">
      <c r="A147" s="1" t="s">
        <v>212</v>
      </c>
      <c r="B147" s="1" t="s">
        <v>213</v>
      </c>
      <c r="D147" s="9">
        <f>+assessment!H147</f>
        <v>1.4593490741804759E-4</v>
      </c>
      <c r="F147" s="2">
        <f>+assessment!J147</f>
        <v>7636.810368413222</v>
      </c>
      <c r="H147" s="22">
        <v>-6570.4747958997796</v>
      </c>
      <c r="J147" s="4">
        <f t="shared" si="12"/>
        <v>1066.3355725134425</v>
      </c>
      <c r="K147" s="22">
        <v>0</v>
      </c>
      <c r="L147" s="22">
        <f t="shared" si="13"/>
        <v>-6570.4747958997796</v>
      </c>
      <c r="M147" s="66">
        <v>0</v>
      </c>
      <c r="N147" s="67">
        <v>0</v>
      </c>
      <c r="O147" s="51">
        <v>225</v>
      </c>
      <c r="P147" s="51">
        <f t="shared" si="9"/>
        <v>0</v>
      </c>
      <c r="Q147" s="53">
        <f t="shared" si="14"/>
        <v>1066.3355725134425</v>
      </c>
    </row>
    <row r="148" spans="1:17" outlineLevel="1">
      <c r="A148" s="1" t="s">
        <v>214</v>
      </c>
      <c r="B148" s="1" t="s">
        <v>215</v>
      </c>
      <c r="D148" s="9">
        <f>+assessment!H148</f>
        <v>1.2116851824397357E-3</v>
      </c>
      <c r="F148" s="2">
        <f>+assessment!J148</f>
        <v>63407.790008739757</v>
      </c>
      <c r="H148" s="22">
        <v>-54552.927808150038</v>
      </c>
      <c r="J148" s="4">
        <f t="shared" si="12"/>
        <v>8854.8622005897196</v>
      </c>
      <c r="K148" s="22">
        <v>-225</v>
      </c>
      <c r="L148" s="22">
        <f t="shared" si="13"/>
        <v>-54777.927808150038</v>
      </c>
      <c r="M148" s="66">
        <v>1</v>
      </c>
      <c r="N148" s="67">
        <v>0</v>
      </c>
      <c r="O148" s="51">
        <v>225</v>
      </c>
      <c r="P148" s="51">
        <f t="shared" si="9"/>
        <v>0</v>
      </c>
      <c r="Q148" s="53">
        <f t="shared" si="14"/>
        <v>8854.8622005897196</v>
      </c>
    </row>
    <row r="149" spans="1:17" outlineLevel="1">
      <c r="A149" s="1" t="s">
        <v>216</v>
      </c>
      <c r="B149" s="1" t="s">
        <v>217</v>
      </c>
      <c r="D149" s="9">
        <f>+assessment!H149</f>
        <v>9.013443037995009E-5</v>
      </c>
      <c r="F149" s="2">
        <f>+assessment!J149</f>
        <v>4716.7573862557329</v>
      </c>
      <c r="H149" s="22">
        <v>-4058.0936751909849</v>
      </c>
      <c r="J149" s="4">
        <f t="shared" si="12"/>
        <v>658.66371106474799</v>
      </c>
      <c r="K149" s="22">
        <v>0</v>
      </c>
      <c r="L149" s="22">
        <f t="shared" si="13"/>
        <v>-4058.0936751909849</v>
      </c>
      <c r="M149" s="66">
        <v>0</v>
      </c>
      <c r="N149" s="67">
        <v>0</v>
      </c>
      <c r="O149" s="51">
        <v>225</v>
      </c>
      <c r="P149" s="51">
        <f t="shared" si="9"/>
        <v>0</v>
      </c>
      <c r="Q149" s="53">
        <f t="shared" si="14"/>
        <v>658.66371106474799</v>
      </c>
    </row>
    <row r="150" spans="1:17" outlineLevel="1">
      <c r="A150" s="1" t="s">
        <v>218</v>
      </c>
      <c r="B150" s="1" t="s">
        <v>219</v>
      </c>
      <c r="D150" s="9">
        <f>+assessment!H150</f>
        <v>1.0330407290075822E-4</v>
      </c>
      <c r="F150" s="2">
        <f>+assessment!J150</f>
        <v>5405.928087978913</v>
      </c>
      <c r="H150" s="22">
        <v>-4651.0495559765186</v>
      </c>
      <c r="J150" s="4">
        <f t="shared" si="12"/>
        <v>754.87853200239442</v>
      </c>
      <c r="K150" s="22">
        <v>0</v>
      </c>
      <c r="L150" s="22">
        <f t="shared" si="13"/>
        <v>-4651.0495559765186</v>
      </c>
      <c r="M150" s="66">
        <v>0</v>
      </c>
      <c r="N150" s="67">
        <v>0</v>
      </c>
      <c r="O150" s="51">
        <v>225</v>
      </c>
      <c r="P150" s="51">
        <f t="shared" si="9"/>
        <v>0</v>
      </c>
      <c r="Q150" s="53">
        <f t="shared" si="14"/>
        <v>754.87853200239442</v>
      </c>
    </row>
    <row r="151" spans="1:17" outlineLevel="1">
      <c r="A151" s="1" t="s">
        <v>220</v>
      </c>
      <c r="B151" s="1" t="s">
        <v>221</v>
      </c>
      <c r="D151" s="9">
        <f>+assessment!H151</f>
        <v>5.8300976762031535E-5</v>
      </c>
      <c r="F151" s="2">
        <f>+assessment!J151</f>
        <v>3050.9047609115023</v>
      </c>
      <c r="H151" s="22">
        <v>-2624.8844190088384</v>
      </c>
      <c r="J151" s="4">
        <f t="shared" si="12"/>
        <v>426.02034190266386</v>
      </c>
      <c r="K151" s="22">
        <v>0</v>
      </c>
      <c r="L151" s="22">
        <f t="shared" si="13"/>
        <v>-2624.8844190088384</v>
      </c>
      <c r="M151" s="66">
        <v>0</v>
      </c>
      <c r="N151" s="67">
        <v>0</v>
      </c>
      <c r="O151" s="51">
        <v>225</v>
      </c>
      <c r="P151" s="51">
        <f t="shared" si="9"/>
        <v>0</v>
      </c>
      <c r="Q151" s="53">
        <f t="shared" si="14"/>
        <v>426.02034190266386</v>
      </c>
    </row>
    <row r="152" spans="1:17" outlineLevel="1">
      <c r="A152" s="1" t="s">
        <v>222</v>
      </c>
      <c r="B152" s="1" t="s">
        <v>223</v>
      </c>
      <c r="D152" s="9">
        <f>+assessment!H152</f>
        <v>1.2592574346223615E-5</v>
      </c>
      <c r="F152" s="2">
        <f>+assessment!J152</f>
        <v>658.97257917033482</v>
      </c>
      <c r="H152" s="22">
        <v>-566.95762686660566</v>
      </c>
      <c r="J152" s="4">
        <f t="shared" si="12"/>
        <v>92.01495230372916</v>
      </c>
      <c r="K152" s="22">
        <v>0</v>
      </c>
      <c r="L152" s="22">
        <f t="shared" si="13"/>
        <v>-566.95762686660566</v>
      </c>
      <c r="M152" s="66">
        <v>0</v>
      </c>
      <c r="N152" s="67">
        <v>0</v>
      </c>
      <c r="O152" s="51">
        <v>225</v>
      </c>
      <c r="P152" s="51">
        <f t="shared" si="9"/>
        <v>0</v>
      </c>
      <c r="Q152" s="53">
        <f t="shared" si="14"/>
        <v>92.01495230372916</v>
      </c>
    </row>
    <row r="153" spans="1:17" outlineLevel="1">
      <c r="A153" s="1" t="s">
        <v>224</v>
      </c>
      <c r="B153" s="1" t="s">
        <v>225</v>
      </c>
      <c r="D153" s="9">
        <f>+assessment!H153</f>
        <v>9.412458864393753E-5</v>
      </c>
      <c r="F153" s="2">
        <f>+assessment!J153</f>
        <v>4925.5633706576564</v>
      </c>
      <c r="H153" s="22">
        <v>-4237.6604582132532</v>
      </c>
      <c r="J153" s="4">
        <f t="shared" si="12"/>
        <v>687.90291244440323</v>
      </c>
      <c r="K153" s="22">
        <v>0</v>
      </c>
      <c r="L153" s="22">
        <f t="shared" si="13"/>
        <v>-4237.6604582132532</v>
      </c>
      <c r="M153" s="66">
        <v>0</v>
      </c>
      <c r="N153" s="67">
        <v>0</v>
      </c>
      <c r="O153" s="51">
        <v>225</v>
      </c>
      <c r="P153" s="51">
        <f t="shared" si="9"/>
        <v>0</v>
      </c>
      <c r="Q153" s="53">
        <f t="shared" si="14"/>
        <v>687.90291244440323</v>
      </c>
    </row>
    <row r="154" spans="1:17" outlineLevel="1">
      <c r="A154" s="1" t="s">
        <v>226</v>
      </c>
      <c r="B154" s="1" t="s">
        <v>227</v>
      </c>
      <c r="D154" s="9">
        <f>+assessment!H154</f>
        <v>1.8479991351288104E-4</v>
      </c>
      <c r="F154" s="2">
        <f>+assessment!J154</f>
        <v>9670.6259014113366</v>
      </c>
      <c r="H154" s="22">
        <v>-8320.2943920900379</v>
      </c>
      <c r="J154" s="4">
        <f t="shared" si="12"/>
        <v>1350.3315093212987</v>
      </c>
      <c r="K154" s="22">
        <v>-225</v>
      </c>
      <c r="L154" s="22">
        <f t="shared" si="13"/>
        <v>-8545.2943920900379</v>
      </c>
      <c r="M154" s="66">
        <v>1</v>
      </c>
      <c r="N154" s="67">
        <v>0</v>
      </c>
      <c r="O154" s="51">
        <v>225</v>
      </c>
      <c r="P154" s="51">
        <f t="shared" si="9"/>
        <v>0</v>
      </c>
      <c r="Q154" s="53">
        <f t="shared" si="14"/>
        <v>1350.3315093212987</v>
      </c>
    </row>
    <row r="155" spans="1:17" outlineLevel="1">
      <c r="A155" s="1" t="s">
        <v>228</v>
      </c>
      <c r="B155" s="1" t="s">
        <v>229</v>
      </c>
      <c r="D155" s="9">
        <f>+assessment!H155</f>
        <v>1.9082602110530037E-4</v>
      </c>
      <c r="F155" s="2">
        <f>+assessment!J155</f>
        <v>9985.9736256616525</v>
      </c>
      <c r="H155" s="22">
        <v>-8591.6208377428757</v>
      </c>
      <c r="J155" s="4">
        <f t="shared" si="12"/>
        <v>1394.3527879187768</v>
      </c>
      <c r="K155" s="22">
        <v>0</v>
      </c>
      <c r="L155" s="22">
        <f t="shared" si="13"/>
        <v>-8591.6208377428757</v>
      </c>
      <c r="M155" s="66">
        <v>0</v>
      </c>
      <c r="N155" s="67">
        <v>0</v>
      </c>
      <c r="O155" s="51">
        <v>225</v>
      </c>
      <c r="P155" s="51">
        <f t="shared" si="9"/>
        <v>0</v>
      </c>
      <c r="Q155" s="53">
        <f t="shared" si="14"/>
        <v>1394.3527879187768</v>
      </c>
    </row>
    <row r="156" spans="1:17" outlineLevel="1">
      <c r="A156" s="1" t="s">
        <v>230</v>
      </c>
      <c r="B156" s="1" t="s">
        <v>231</v>
      </c>
      <c r="D156" s="9">
        <f>+assessment!H156</f>
        <v>3.6636656326369337E-5</v>
      </c>
      <c r="F156" s="2">
        <f>+assessment!J156</f>
        <v>1917.2054297860764</v>
      </c>
      <c r="H156" s="22">
        <v>-1649.4832606133527</v>
      </c>
      <c r="J156" s="4">
        <f t="shared" si="12"/>
        <v>267.72216917272362</v>
      </c>
      <c r="K156" s="22">
        <v>0</v>
      </c>
      <c r="L156" s="22">
        <f t="shared" si="13"/>
        <v>-1649.4832606133527</v>
      </c>
      <c r="M156" s="66">
        <v>0</v>
      </c>
      <c r="N156" s="67">
        <v>0</v>
      </c>
      <c r="O156" s="51">
        <v>225</v>
      </c>
      <c r="P156" s="51">
        <f t="shared" si="9"/>
        <v>0</v>
      </c>
      <c r="Q156" s="53">
        <f t="shared" si="14"/>
        <v>267.72216917272362</v>
      </c>
    </row>
    <row r="157" spans="1:17" outlineLevel="1">
      <c r="A157" s="1" t="s">
        <v>571</v>
      </c>
      <c r="B157" s="1" t="s">
        <v>572</v>
      </c>
      <c r="D157" s="9">
        <f>+assessment!H157</f>
        <v>1.1411782848204508E-5</v>
      </c>
      <c r="F157" s="2">
        <f>+assessment!J157</f>
        <v>597.18146342874695</v>
      </c>
      <c r="H157" s="22">
        <v>-513.79650724480541</v>
      </c>
      <c r="J157" s="4">
        <f t="shared" si="12"/>
        <v>83.38495618394154</v>
      </c>
      <c r="K157" s="68">
        <v>0</v>
      </c>
      <c r="L157" s="22">
        <f t="shared" si="13"/>
        <v>-513.79650724480541</v>
      </c>
      <c r="M157" s="66">
        <v>0</v>
      </c>
      <c r="N157" s="67">
        <v>0</v>
      </c>
      <c r="O157" s="51">
        <v>225</v>
      </c>
      <c r="P157" s="51">
        <f t="shared" ref="P157:P220" si="15">O157*N157</f>
        <v>0</v>
      </c>
      <c r="Q157" s="53">
        <f t="shared" si="14"/>
        <v>83.38495618394154</v>
      </c>
    </row>
    <row r="158" spans="1:17" outlineLevel="1">
      <c r="A158" s="1" t="s">
        <v>232</v>
      </c>
      <c r="B158" s="1" t="s">
        <v>233</v>
      </c>
      <c r="D158" s="9">
        <f>+assessment!H158</f>
        <v>1.4966563641428654E-5</v>
      </c>
      <c r="F158" s="2">
        <f>+assessment!J158</f>
        <v>783.20403540574523</v>
      </c>
      <c r="H158" s="22">
        <v>-673.83848079966629</v>
      </c>
      <c r="J158" s="4">
        <f t="shared" si="12"/>
        <v>109.36555460607894</v>
      </c>
      <c r="K158" s="22">
        <v>0</v>
      </c>
      <c r="L158" s="22">
        <f t="shared" si="13"/>
        <v>-673.83848079966629</v>
      </c>
      <c r="M158" s="66">
        <v>0</v>
      </c>
      <c r="N158" s="67">
        <v>0</v>
      </c>
      <c r="O158" s="51">
        <v>225</v>
      </c>
      <c r="P158" s="51">
        <f t="shared" si="15"/>
        <v>0</v>
      </c>
      <c r="Q158" s="53">
        <f t="shared" si="14"/>
        <v>109.36555460607894</v>
      </c>
    </row>
    <row r="159" spans="1:17" outlineLevel="1">
      <c r="A159" s="1" t="s">
        <v>234</v>
      </c>
      <c r="B159" s="1" t="s">
        <v>235</v>
      </c>
      <c r="D159" s="9">
        <f>+assessment!H159</f>
        <v>5.5297264478606258E-6</v>
      </c>
      <c r="F159" s="2">
        <f>+assessment!J159</f>
        <v>289.37197424972209</v>
      </c>
      <c r="H159" s="22">
        <v>-248.96725568212702</v>
      </c>
      <c r="J159" s="4">
        <f t="shared" si="12"/>
        <v>40.404718567595069</v>
      </c>
      <c r="K159" s="22">
        <v>0</v>
      </c>
      <c r="L159" s="22">
        <f t="shared" si="13"/>
        <v>-248.96725568212702</v>
      </c>
      <c r="M159" s="66">
        <v>0</v>
      </c>
      <c r="N159" s="67">
        <v>0</v>
      </c>
      <c r="O159" s="51">
        <v>225</v>
      </c>
      <c r="P159" s="51">
        <f t="shared" si="15"/>
        <v>0</v>
      </c>
      <c r="Q159" s="53">
        <f t="shared" si="14"/>
        <v>40.404718567595069</v>
      </c>
    </row>
    <row r="160" spans="1:17" outlineLevel="1">
      <c r="A160" s="1" t="s">
        <v>236</v>
      </c>
      <c r="B160" s="1" t="s">
        <v>237</v>
      </c>
      <c r="D160" s="9">
        <f>+assessment!H160</f>
        <v>1.5285971642500041E-4</v>
      </c>
      <c r="F160" s="2">
        <f>+assessment!J160</f>
        <v>7999.18736346683</v>
      </c>
      <c r="H160" s="22">
        <v>-6882.2732578939558</v>
      </c>
      <c r="J160" s="4">
        <f t="shared" si="12"/>
        <v>1116.9141055728742</v>
      </c>
      <c r="K160" s="22">
        <v>-225</v>
      </c>
      <c r="L160" s="22">
        <f t="shared" si="13"/>
        <v>-7107.2732578939558</v>
      </c>
      <c r="M160" s="66">
        <v>1</v>
      </c>
      <c r="N160" s="67">
        <v>0</v>
      </c>
      <c r="O160" s="51">
        <v>225</v>
      </c>
      <c r="P160" s="51">
        <f t="shared" si="15"/>
        <v>0</v>
      </c>
      <c r="Q160" s="53">
        <f t="shared" si="14"/>
        <v>1116.9141055728742</v>
      </c>
    </row>
    <row r="161" spans="1:17" outlineLevel="1">
      <c r="A161" s="1" t="s">
        <v>238</v>
      </c>
      <c r="B161" s="1" t="s">
        <v>239</v>
      </c>
      <c r="D161" s="9">
        <f>+assessment!H161</f>
        <v>8.3835751232441718E-6</v>
      </c>
      <c r="F161" s="2">
        <f>+assessment!J161</f>
        <v>438.71459240494573</v>
      </c>
      <c r="H161" s="22">
        <v>-377.45233455946294</v>
      </c>
      <c r="J161" s="4">
        <f t="shared" si="12"/>
        <v>61.262257845482793</v>
      </c>
      <c r="K161" s="22">
        <v>0</v>
      </c>
      <c r="L161" s="22">
        <f t="shared" si="13"/>
        <v>-377.45233455946294</v>
      </c>
      <c r="M161" s="66">
        <v>0</v>
      </c>
      <c r="N161" s="67">
        <v>0</v>
      </c>
      <c r="O161" s="51">
        <v>225</v>
      </c>
      <c r="P161" s="51">
        <f t="shared" si="15"/>
        <v>0</v>
      </c>
      <c r="Q161" s="53">
        <f t="shared" si="14"/>
        <v>61.262257845482793</v>
      </c>
    </row>
    <row r="162" spans="1:17" outlineLevel="1">
      <c r="A162" s="1" t="s">
        <v>240</v>
      </c>
      <c r="B162" s="1" t="s">
        <v>241</v>
      </c>
      <c r="D162" s="9">
        <f>+assessment!H162</f>
        <v>1.7915820245303164E-5</v>
      </c>
      <c r="F162" s="2">
        <f>+assessment!J162</f>
        <v>937.53937442823485</v>
      </c>
      <c r="H162" s="22">
        <v>-806.65010941601804</v>
      </c>
      <c r="J162" s="4">
        <f t="shared" si="12"/>
        <v>130.88926501221681</v>
      </c>
      <c r="K162" s="22">
        <v>0</v>
      </c>
      <c r="L162" s="22">
        <f t="shared" si="13"/>
        <v>-806.65010941601804</v>
      </c>
      <c r="M162" s="66">
        <v>0</v>
      </c>
      <c r="N162" s="67">
        <v>0</v>
      </c>
      <c r="O162" s="51">
        <v>225</v>
      </c>
      <c r="P162" s="51">
        <f t="shared" si="15"/>
        <v>0</v>
      </c>
      <c r="Q162" s="53">
        <f t="shared" si="14"/>
        <v>130.88926501221681</v>
      </c>
    </row>
    <row r="163" spans="1:17" outlineLevel="1">
      <c r="A163" s="1" t="s">
        <v>242</v>
      </c>
      <c r="B163" s="1" t="s">
        <v>243</v>
      </c>
      <c r="D163" s="9">
        <f>+assessment!H163</f>
        <v>1.1481549075620295E-5</v>
      </c>
      <c r="F163" s="2">
        <f>+assessment!J163</f>
        <v>600.83234763678433</v>
      </c>
      <c r="H163" s="22">
        <v>-516.93107435375907</v>
      </c>
      <c r="J163" s="4">
        <f t="shared" si="12"/>
        <v>83.901273283025262</v>
      </c>
      <c r="K163" s="22">
        <v>0</v>
      </c>
      <c r="L163" s="22">
        <f t="shared" si="13"/>
        <v>-516.93107435375907</v>
      </c>
      <c r="M163" s="66">
        <v>0</v>
      </c>
      <c r="N163" s="67">
        <v>0</v>
      </c>
      <c r="O163" s="51">
        <v>225</v>
      </c>
      <c r="P163" s="51">
        <f t="shared" si="15"/>
        <v>0</v>
      </c>
      <c r="Q163" s="53">
        <f t="shared" si="14"/>
        <v>83.901273283025262</v>
      </c>
    </row>
    <row r="164" spans="1:17" outlineLevel="1">
      <c r="A164" s="1" t="s">
        <v>483</v>
      </c>
      <c r="B164" s="1" t="s">
        <v>484</v>
      </c>
      <c r="D164" s="9">
        <f>+assessment!H164</f>
        <v>3.2796521040873452E-6</v>
      </c>
      <c r="F164" s="2">
        <f>+assessment!J164</f>
        <v>171.62501855388891</v>
      </c>
      <c r="H164" s="22">
        <v>-147.65308421599644</v>
      </c>
      <c r="J164" s="4">
        <f t="shared" si="12"/>
        <v>23.971934337892463</v>
      </c>
      <c r="K164" s="22">
        <v>0</v>
      </c>
      <c r="L164" s="22">
        <f t="shared" si="13"/>
        <v>-147.65308421599644</v>
      </c>
      <c r="M164" s="66">
        <v>0</v>
      </c>
      <c r="N164" s="67">
        <v>0</v>
      </c>
      <c r="O164" s="51">
        <v>225</v>
      </c>
      <c r="P164" s="51">
        <f t="shared" si="15"/>
        <v>0</v>
      </c>
      <c r="Q164" s="53">
        <f t="shared" si="14"/>
        <v>23.971934337892463</v>
      </c>
    </row>
    <row r="165" spans="1:17" outlineLevel="1">
      <c r="A165" s="1" t="s">
        <v>244</v>
      </c>
      <c r="B165" s="1" t="s">
        <v>245</v>
      </c>
      <c r="D165" s="9">
        <f>+assessment!H165</f>
        <v>8.9035021396761168E-4</v>
      </c>
      <c r="F165" s="2">
        <f>+assessment!J165</f>
        <v>46592.250379609381</v>
      </c>
      <c r="H165" s="22">
        <v>-40085.835228018201</v>
      </c>
      <c r="J165" s="4">
        <f t="shared" si="12"/>
        <v>6506.4151515911799</v>
      </c>
      <c r="K165" s="22">
        <v>0</v>
      </c>
      <c r="L165" s="22">
        <f t="shared" si="13"/>
        <v>-40085.835228018201</v>
      </c>
      <c r="M165" s="66">
        <v>0</v>
      </c>
      <c r="N165" s="67">
        <v>0</v>
      </c>
      <c r="O165" s="51">
        <v>225</v>
      </c>
      <c r="P165" s="51">
        <f t="shared" si="15"/>
        <v>0</v>
      </c>
      <c r="Q165" s="53">
        <f t="shared" si="14"/>
        <v>6506.4151515911799</v>
      </c>
    </row>
    <row r="166" spans="1:17" outlineLevel="1">
      <c r="A166" s="1" t="s">
        <v>246</v>
      </c>
      <c r="B166" s="1" t="s">
        <v>247</v>
      </c>
      <c r="D166" s="9">
        <f>+assessment!H166</f>
        <v>1.0648244860887738E-5</v>
      </c>
      <c r="F166" s="2">
        <f>+assessment!J166</f>
        <v>557.22532872881175</v>
      </c>
      <c r="H166" s="22">
        <v>-479.41766552079935</v>
      </c>
      <c r="J166" s="4">
        <f t="shared" si="12"/>
        <v>77.8076632080124</v>
      </c>
      <c r="K166" s="22">
        <v>0</v>
      </c>
      <c r="L166" s="22">
        <f t="shared" si="13"/>
        <v>-479.41766552079935</v>
      </c>
      <c r="M166" s="66">
        <v>0</v>
      </c>
      <c r="N166" s="67">
        <v>0</v>
      </c>
      <c r="O166" s="51">
        <v>225</v>
      </c>
      <c r="P166" s="51">
        <f t="shared" si="15"/>
        <v>0</v>
      </c>
      <c r="Q166" s="53">
        <f t="shared" si="14"/>
        <v>77.8076632080124</v>
      </c>
    </row>
    <row r="167" spans="1:17" outlineLevel="1">
      <c r="A167" s="1" t="s">
        <v>248</v>
      </c>
      <c r="B167" s="1" t="s">
        <v>249</v>
      </c>
      <c r="D167" s="9">
        <f>+assessment!H167</f>
        <v>1.0165623680907356E-5</v>
      </c>
      <c r="F167" s="2">
        <f>+assessment!J167</f>
        <v>531.96964113151932</v>
      </c>
      <c r="H167" s="22">
        <v>-457.68607439961625</v>
      </c>
      <c r="J167" s="4">
        <f t="shared" si="12"/>
        <v>74.283566731903079</v>
      </c>
      <c r="K167" s="22">
        <v>0</v>
      </c>
      <c r="L167" s="22">
        <f t="shared" si="13"/>
        <v>-457.68607439961625</v>
      </c>
      <c r="M167" s="66">
        <v>0</v>
      </c>
      <c r="N167" s="67">
        <v>0</v>
      </c>
      <c r="O167" s="51">
        <v>225</v>
      </c>
      <c r="P167" s="51">
        <f t="shared" si="15"/>
        <v>0</v>
      </c>
      <c r="Q167" s="53">
        <f t="shared" si="14"/>
        <v>74.283566731903079</v>
      </c>
    </row>
    <row r="168" spans="1:17" outlineLevel="1">
      <c r="A168" s="1" t="s">
        <v>250</v>
      </c>
      <c r="B168" s="1" t="s">
        <v>251</v>
      </c>
      <c r="D168" s="9">
        <f>+assessment!H168</f>
        <v>1.6592165503127908E-4</v>
      </c>
      <c r="F168" s="2">
        <f>+assessment!J168</f>
        <v>8682.7218922842294</v>
      </c>
      <c r="H168" s="22">
        <v>-7470.4002416941985</v>
      </c>
      <c r="J168" s="4">
        <f t="shared" si="12"/>
        <v>1212.3216505900309</v>
      </c>
      <c r="K168" s="22">
        <v>-225</v>
      </c>
      <c r="L168" s="22">
        <f t="shared" si="13"/>
        <v>-7695.4002416941985</v>
      </c>
      <c r="M168" s="66">
        <v>1</v>
      </c>
      <c r="N168" s="67">
        <v>0</v>
      </c>
      <c r="O168" s="51">
        <v>225</v>
      </c>
      <c r="P168" s="51">
        <f t="shared" si="15"/>
        <v>0</v>
      </c>
      <c r="Q168" s="53">
        <f t="shared" si="14"/>
        <v>1212.3216505900309</v>
      </c>
    </row>
    <row r="169" spans="1:17" outlineLevel="1">
      <c r="A169" s="1" t="s">
        <v>252</v>
      </c>
      <c r="B169" s="1" t="s">
        <v>253</v>
      </c>
      <c r="D169" s="9">
        <f>+assessment!H169</f>
        <v>9.0722183326916263E-6</v>
      </c>
      <c r="F169" s="2">
        <f>+assessment!J169</f>
        <v>474.75146456316457</v>
      </c>
      <c r="H169" s="22">
        <v>-408.46041744221986</v>
      </c>
      <c r="J169" s="4">
        <f t="shared" si="12"/>
        <v>66.291047120944711</v>
      </c>
      <c r="K169" s="22">
        <v>0</v>
      </c>
      <c r="L169" s="22">
        <f t="shared" si="13"/>
        <v>-408.46041744221986</v>
      </c>
      <c r="M169" s="66">
        <v>0</v>
      </c>
      <c r="N169" s="67">
        <v>0</v>
      </c>
      <c r="O169" s="51">
        <v>225</v>
      </c>
      <c r="P169" s="51">
        <f t="shared" si="15"/>
        <v>0</v>
      </c>
      <c r="Q169" s="53">
        <f t="shared" si="14"/>
        <v>66.291047120944711</v>
      </c>
    </row>
    <row r="170" spans="1:17" outlineLevel="1">
      <c r="A170" s="1" t="s">
        <v>254</v>
      </c>
      <c r="B170" s="1" t="s">
        <v>255</v>
      </c>
      <c r="D170" s="9">
        <f>+assessment!H170</f>
        <v>3.934652637379334E-5</v>
      </c>
      <c r="F170" s="2">
        <f>+assessment!J170</f>
        <v>2059.0136101684266</v>
      </c>
      <c r="H170" s="22">
        <v>-1771.5100663113053</v>
      </c>
      <c r="J170" s="4">
        <f t="shared" si="12"/>
        <v>287.50354385712126</v>
      </c>
      <c r="K170" s="22">
        <v>-225</v>
      </c>
      <c r="L170" s="22">
        <f t="shared" si="13"/>
        <v>-1996.5100663113053</v>
      </c>
      <c r="M170" s="66">
        <v>1</v>
      </c>
      <c r="N170" s="67">
        <v>0</v>
      </c>
      <c r="O170" s="51">
        <v>225</v>
      </c>
      <c r="P170" s="51">
        <f t="shared" si="15"/>
        <v>0</v>
      </c>
      <c r="Q170" s="53">
        <f t="shared" si="14"/>
        <v>287.50354385712126</v>
      </c>
    </row>
    <row r="171" spans="1:17" outlineLevel="1">
      <c r="A171" s="1" t="s">
        <v>256</v>
      </c>
      <c r="B171" s="1" t="s">
        <v>257</v>
      </c>
      <c r="D171" s="9">
        <f>+assessment!H171</f>
        <v>5.3847314965169968E-5</v>
      </c>
      <c r="F171" s="2">
        <f>+assessment!J171</f>
        <v>2817.8435201882835</v>
      </c>
      <c r="H171" s="22">
        <v>-2424.3762180514473</v>
      </c>
      <c r="J171" s="4">
        <f t="shared" si="12"/>
        <v>393.46730213683622</v>
      </c>
      <c r="K171" s="22">
        <v>0</v>
      </c>
      <c r="L171" s="22">
        <f t="shared" si="13"/>
        <v>-2424.3762180514473</v>
      </c>
      <c r="M171" s="66">
        <v>0</v>
      </c>
      <c r="N171" s="67">
        <v>0</v>
      </c>
      <c r="O171" s="51">
        <v>225</v>
      </c>
      <c r="P171" s="51">
        <f t="shared" si="15"/>
        <v>0</v>
      </c>
      <c r="Q171" s="53">
        <f t="shared" si="14"/>
        <v>393.46730213683622</v>
      </c>
    </row>
    <row r="172" spans="1:17" outlineLevel="1">
      <c r="A172" s="1" t="s">
        <v>258</v>
      </c>
      <c r="B172" s="1" t="s">
        <v>259</v>
      </c>
      <c r="D172" s="9">
        <f>+assessment!H172</f>
        <v>3.4374120214639923E-4</v>
      </c>
      <c r="F172" s="2">
        <f>+assessment!J172</f>
        <v>17988.063466423289</v>
      </c>
      <c r="H172" s="22">
        <v>-15476.243381612509</v>
      </c>
      <c r="J172" s="4">
        <f t="shared" si="12"/>
        <v>2511.8200848107808</v>
      </c>
      <c r="K172" s="22">
        <v>-225</v>
      </c>
      <c r="L172" s="22">
        <f t="shared" si="13"/>
        <v>-15701.243381612509</v>
      </c>
      <c r="M172" s="66">
        <v>1</v>
      </c>
      <c r="N172" s="67">
        <v>0</v>
      </c>
      <c r="O172" s="51">
        <v>225</v>
      </c>
      <c r="P172" s="51">
        <f t="shared" si="15"/>
        <v>0</v>
      </c>
      <c r="Q172" s="53">
        <f t="shared" si="14"/>
        <v>2511.8200848107808</v>
      </c>
    </row>
    <row r="173" spans="1:17" outlineLevel="1">
      <c r="A173" s="1" t="s">
        <v>260</v>
      </c>
      <c r="B173" s="1" t="s">
        <v>261</v>
      </c>
      <c r="D173" s="9">
        <f>+assessment!H173</f>
        <v>7.99544448171348E-6</v>
      </c>
      <c r="F173" s="2">
        <f>+assessment!J173</f>
        <v>418.40361842358357</v>
      </c>
      <c r="H173" s="22">
        <v>-359.98136330515223</v>
      </c>
      <c r="J173" s="4">
        <f t="shared" si="12"/>
        <v>58.422255118431337</v>
      </c>
      <c r="K173" s="22">
        <v>0</v>
      </c>
      <c r="L173" s="22">
        <f t="shared" si="13"/>
        <v>-359.98136330515223</v>
      </c>
      <c r="M173" s="66">
        <v>0</v>
      </c>
      <c r="N173" s="67">
        <v>0</v>
      </c>
      <c r="O173" s="51">
        <v>225</v>
      </c>
      <c r="P173" s="51">
        <f t="shared" si="15"/>
        <v>0</v>
      </c>
      <c r="Q173" s="53">
        <f t="shared" si="14"/>
        <v>58.422255118431337</v>
      </c>
    </row>
    <row r="174" spans="1:17" outlineLevel="1">
      <c r="A174" s="1" t="s">
        <v>262</v>
      </c>
      <c r="B174" s="1" t="s">
        <v>263</v>
      </c>
      <c r="D174" s="9">
        <f>+assessment!H174</f>
        <v>1.1707476734862204E-5</v>
      </c>
      <c r="F174" s="2">
        <f>+assessment!J174</f>
        <v>612.65519880471925</v>
      </c>
      <c r="H174" s="22">
        <v>-527.10385090144462</v>
      </c>
      <c r="J174" s="4">
        <f t="shared" si="12"/>
        <v>85.551347903274632</v>
      </c>
      <c r="K174" s="22">
        <v>0</v>
      </c>
      <c r="L174" s="22">
        <f t="shared" si="13"/>
        <v>-527.10385090144462</v>
      </c>
      <c r="M174" s="66">
        <v>0</v>
      </c>
      <c r="N174" s="67">
        <v>0</v>
      </c>
      <c r="O174" s="51">
        <v>225</v>
      </c>
      <c r="P174" s="51">
        <f t="shared" si="15"/>
        <v>0</v>
      </c>
      <c r="Q174" s="53">
        <f t="shared" si="14"/>
        <v>85.551347903274632</v>
      </c>
    </row>
    <row r="175" spans="1:17" outlineLevel="1">
      <c r="A175" s="1" t="s">
        <v>264</v>
      </c>
      <c r="B175" s="1" t="s">
        <v>265</v>
      </c>
      <c r="D175" s="9">
        <f>+assessment!H175</f>
        <v>1.1194150139721519E-5</v>
      </c>
      <c r="F175" s="2">
        <f>+assessment!J175</f>
        <v>585.79268911796669</v>
      </c>
      <c r="H175" s="22">
        <v>-503.99985996144244</v>
      </c>
      <c r="J175" s="4">
        <f t="shared" si="12"/>
        <v>81.792829156524249</v>
      </c>
      <c r="K175" s="22">
        <v>0</v>
      </c>
      <c r="L175" s="22">
        <f t="shared" si="13"/>
        <v>-503.99985996144244</v>
      </c>
      <c r="M175" s="66">
        <v>0</v>
      </c>
      <c r="N175" s="67">
        <v>0</v>
      </c>
      <c r="O175" s="51">
        <v>225</v>
      </c>
      <c r="P175" s="51">
        <f t="shared" si="15"/>
        <v>0</v>
      </c>
      <c r="Q175" s="53">
        <f t="shared" si="14"/>
        <v>81.792829156524249</v>
      </c>
    </row>
    <row r="176" spans="1:17" outlineLevel="1">
      <c r="A176" s="1" t="s">
        <v>266</v>
      </c>
      <c r="B176" s="1" t="s">
        <v>267</v>
      </c>
      <c r="D176" s="9">
        <f>+assessment!H176</f>
        <v>2.4371339001839822E-5</v>
      </c>
      <c r="F176" s="2">
        <f>+assessment!J176</f>
        <v>1275.3582927777754</v>
      </c>
      <c r="H176" s="22">
        <v>-1097.2762310745024</v>
      </c>
      <c r="J176" s="4">
        <f t="shared" si="12"/>
        <v>178.08206170327298</v>
      </c>
      <c r="K176" s="22">
        <v>-225</v>
      </c>
      <c r="L176" s="22">
        <f t="shared" si="13"/>
        <v>-1322.2762310745024</v>
      </c>
      <c r="M176" s="66">
        <v>1</v>
      </c>
      <c r="N176" s="67">
        <v>0</v>
      </c>
      <c r="O176" s="51">
        <v>225</v>
      </c>
      <c r="P176" s="51">
        <f t="shared" si="15"/>
        <v>0</v>
      </c>
      <c r="Q176" s="53">
        <f t="shared" si="14"/>
        <v>178.08206170327298</v>
      </c>
    </row>
    <row r="177" spans="1:17" outlineLevel="1">
      <c r="A177" s="1" t="s">
        <v>268</v>
      </c>
      <c r="B177" s="1" t="s">
        <v>269</v>
      </c>
      <c r="D177" s="9">
        <f>+assessment!H177</f>
        <v>2.7137084136365464E-6</v>
      </c>
      <c r="F177" s="2">
        <f>+assessment!J177</f>
        <v>142.00904305056525</v>
      </c>
      <c r="H177" s="22">
        <v>-122.17803704409485</v>
      </c>
      <c r="J177" s="4">
        <f t="shared" si="12"/>
        <v>19.831006006470403</v>
      </c>
      <c r="K177" s="22">
        <v>0</v>
      </c>
      <c r="L177" s="22">
        <f t="shared" si="13"/>
        <v>-122.17803704409485</v>
      </c>
      <c r="M177" s="66">
        <v>0</v>
      </c>
      <c r="N177" s="67">
        <v>0</v>
      </c>
      <c r="O177" s="51">
        <v>225</v>
      </c>
      <c r="P177" s="51">
        <f t="shared" si="15"/>
        <v>0</v>
      </c>
      <c r="Q177" s="53">
        <f t="shared" si="14"/>
        <v>19.831006006470403</v>
      </c>
    </row>
    <row r="178" spans="1:17" outlineLevel="1">
      <c r="A178" s="1" t="s">
        <v>270</v>
      </c>
      <c r="B178" s="1" t="s">
        <v>271</v>
      </c>
      <c r="D178" s="9">
        <f>+assessment!H178</f>
        <v>2.3422003825176202E-4</v>
      </c>
      <c r="F178" s="2">
        <f>+assessment!J178</f>
        <v>12256.793444814917</v>
      </c>
      <c r="H178" s="22">
        <v>-10545.211642429978</v>
      </c>
      <c r="J178" s="4">
        <f t="shared" si="12"/>
        <v>1711.5818023849388</v>
      </c>
      <c r="K178" s="22">
        <v>0</v>
      </c>
      <c r="L178" s="22">
        <f t="shared" si="13"/>
        <v>-10545.211642429978</v>
      </c>
      <c r="M178" s="66">
        <v>0</v>
      </c>
      <c r="N178" s="67">
        <v>0</v>
      </c>
      <c r="O178" s="51">
        <v>225</v>
      </c>
      <c r="P178" s="51">
        <f t="shared" si="15"/>
        <v>0</v>
      </c>
      <c r="Q178" s="53">
        <f t="shared" si="14"/>
        <v>1711.5818023849388</v>
      </c>
    </row>
    <row r="179" spans="1:17" outlineLevel="1">
      <c r="A179" s="1" t="s">
        <v>272</v>
      </c>
      <c r="B179" s="1" t="s">
        <v>273</v>
      </c>
      <c r="D179" s="9">
        <f>+assessment!H179</f>
        <v>9.5221090933037306E-5</v>
      </c>
      <c r="F179" s="2">
        <f>+assessment!J179</f>
        <v>4982.943610920518</v>
      </c>
      <c r="H179" s="22">
        <v>-4287.2090007236156</v>
      </c>
      <c r="J179" s="4">
        <f t="shared" si="12"/>
        <v>695.73461019690239</v>
      </c>
      <c r="K179" s="22">
        <v>0</v>
      </c>
      <c r="L179" s="22">
        <f t="shared" si="13"/>
        <v>-4287.2090007236156</v>
      </c>
      <c r="M179" s="66">
        <v>0</v>
      </c>
      <c r="N179" s="67">
        <v>0</v>
      </c>
      <c r="O179" s="51">
        <v>225</v>
      </c>
      <c r="P179" s="51">
        <f t="shared" si="15"/>
        <v>0</v>
      </c>
      <c r="Q179" s="53">
        <f t="shared" si="14"/>
        <v>695.73461019690239</v>
      </c>
    </row>
    <row r="180" spans="1:17" outlineLevel="1">
      <c r="A180" s="1" t="s">
        <v>274</v>
      </c>
      <c r="B180" s="1" t="s">
        <v>275</v>
      </c>
      <c r="D180" s="9">
        <f>+assessment!H180</f>
        <v>3.3523960104685066E-6</v>
      </c>
      <c r="F180" s="2">
        <f>+assessment!J180</f>
        <v>175.43172545026667</v>
      </c>
      <c r="H180" s="22">
        <v>-150.93603076717869</v>
      </c>
      <c r="J180" s="4">
        <f t="shared" si="12"/>
        <v>24.495694683087976</v>
      </c>
      <c r="K180" s="22">
        <v>-225</v>
      </c>
      <c r="L180" s="22">
        <f t="shared" si="13"/>
        <v>-375.93603076717869</v>
      </c>
      <c r="M180" s="66">
        <v>1</v>
      </c>
      <c r="N180" s="67">
        <v>0</v>
      </c>
      <c r="O180" s="51">
        <v>225</v>
      </c>
      <c r="P180" s="51">
        <f t="shared" si="15"/>
        <v>0</v>
      </c>
      <c r="Q180" s="53">
        <f t="shared" si="14"/>
        <v>24.495694683087976</v>
      </c>
    </row>
    <row r="181" spans="1:17" outlineLevel="1">
      <c r="A181" s="1" t="s">
        <v>276</v>
      </c>
      <c r="B181" s="1" t="s">
        <v>277</v>
      </c>
      <c r="D181" s="9">
        <f>+assessment!H181</f>
        <v>4.5726137699039036E-5</v>
      </c>
      <c r="F181" s="2">
        <f>+assessment!J181</f>
        <v>2392.8602735682871</v>
      </c>
      <c r="H181" s="22">
        <v>-2058.7306234277071</v>
      </c>
      <c r="J181" s="4">
        <f t="shared" si="12"/>
        <v>334.12965014058</v>
      </c>
      <c r="K181" s="22">
        <v>0</v>
      </c>
      <c r="L181" s="22">
        <f t="shared" si="13"/>
        <v>-2058.7306234277071</v>
      </c>
      <c r="M181" s="66">
        <v>0</v>
      </c>
      <c r="N181" s="67">
        <v>0</v>
      </c>
      <c r="O181" s="51">
        <v>225</v>
      </c>
      <c r="P181" s="51">
        <f t="shared" si="15"/>
        <v>0</v>
      </c>
      <c r="Q181" s="53">
        <f t="shared" si="14"/>
        <v>334.12965014058</v>
      </c>
    </row>
    <row r="182" spans="1:17" outlineLevel="1">
      <c r="A182" s="1" t="s">
        <v>278</v>
      </c>
      <c r="B182" s="1" t="s">
        <v>279</v>
      </c>
      <c r="D182" s="9">
        <f>+assessment!H182</f>
        <v>1.2111714550845991E-4</v>
      </c>
      <c r="F182" s="2">
        <f>+assessment!J182</f>
        <v>6338.0906527181733</v>
      </c>
      <c r="H182" s="22">
        <v>-5452.9781580813933</v>
      </c>
      <c r="J182" s="4">
        <f t="shared" si="12"/>
        <v>885.11249463677996</v>
      </c>
      <c r="K182" s="22">
        <v>0</v>
      </c>
      <c r="L182" s="22">
        <f t="shared" si="13"/>
        <v>-5452.9781580813933</v>
      </c>
      <c r="M182" s="66">
        <v>0</v>
      </c>
      <c r="N182" s="67">
        <v>0</v>
      </c>
      <c r="O182" s="51">
        <v>225</v>
      </c>
      <c r="P182" s="51">
        <f t="shared" si="15"/>
        <v>0</v>
      </c>
      <c r="Q182" s="53">
        <f t="shared" si="14"/>
        <v>885.11249463677996</v>
      </c>
    </row>
    <row r="183" spans="1:17" outlineLevel="1">
      <c r="A183" s="1" t="s">
        <v>280</v>
      </c>
      <c r="B183" s="1" t="s">
        <v>281</v>
      </c>
      <c r="D183" s="9">
        <f>+assessment!H183</f>
        <v>4.2316698844449777E-5</v>
      </c>
      <c r="F183" s="2">
        <f>+assessment!J183</f>
        <v>2214.4434817543079</v>
      </c>
      <c r="H183" s="22">
        <v>-1905.2439787121418</v>
      </c>
      <c r="J183" s="4">
        <f t="shared" si="12"/>
        <v>309.19950304216604</v>
      </c>
      <c r="K183" s="22">
        <v>0</v>
      </c>
      <c r="L183" s="22">
        <f t="shared" si="13"/>
        <v>-1905.2439787121418</v>
      </c>
      <c r="M183" s="66">
        <v>0</v>
      </c>
      <c r="N183" s="67">
        <v>0</v>
      </c>
      <c r="O183" s="51">
        <v>225</v>
      </c>
      <c r="P183" s="51">
        <f t="shared" si="15"/>
        <v>0</v>
      </c>
      <c r="Q183" s="53">
        <f t="shared" si="14"/>
        <v>309.19950304216604</v>
      </c>
    </row>
    <row r="184" spans="1:17" outlineLevel="1">
      <c r="A184" s="1" t="s">
        <v>282</v>
      </c>
      <c r="B184" s="1" t="s">
        <v>283</v>
      </c>
      <c r="D184" s="9">
        <f>+assessment!H184</f>
        <v>1.1978899808601679E-5</v>
      </c>
      <c r="F184" s="2">
        <f>+assessment!J184</f>
        <v>626.8588364431248</v>
      </c>
      <c r="H184" s="22">
        <v>-539.3281472017128</v>
      </c>
      <c r="J184" s="4">
        <f t="shared" si="12"/>
        <v>87.530689241412006</v>
      </c>
      <c r="K184" s="22">
        <v>0</v>
      </c>
      <c r="L184" s="22">
        <f t="shared" si="13"/>
        <v>-539.3281472017128</v>
      </c>
      <c r="M184" s="66">
        <v>0</v>
      </c>
      <c r="N184" s="67">
        <v>0</v>
      </c>
      <c r="O184" s="51">
        <v>225</v>
      </c>
      <c r="P184" s="51">
        <f t="shared" si="15"/>
        <v>0</v>
      </c>
      <c r="Q184" s="53">
        <f t="shared" si="14"/>
        <v>87.530689241412006</v>
      </c>
    </row>
    <row r="185" spans="1:17" outlineLevel="1">
      <c r="A185" s="1" t="s">
        <v>284</v>
      </c>
      <c r="B185" s="1" t="s">
        <v>285</v>
      </c>
      <c r="D185" s="9">
        <f>+assessment!H185</f>
        <v>2.1081644643194752E-5</v>
      </c>
      <c r="F185" s="2">
        <f>+assessment!J185</f>
        <v>1103.2077605199652</v>
      </c>
      <c r="H185" s="22">
        <v>-949.16043721566507</v>
      </c>
      <c r="J185" s="4">
        <f t="shared" si="12"/>
        <v>154.04732330430011</v>
      </c>
      <c r="K185" s="22">
        <v>0</v>
      </c>
      <c r="L185" s="22">
        <f t="shared" si="13"/>
        <v>-949.16043721566507</v>
      </c>
      <c r="M185" s="66">
        <v>0</v>
      </c>
      <c r="N185" s="67">
        <v>0</v>
      </c>
      <c r="O185" s="51">
        <v>225</v>
      </c>
      <c r="P185" s="51">
        <f t="shared" si="15"/>
        <v>0</v>
      </c>
      <c r="Q185" s="53">
        <f t="shared" si="14"/>
        <v>154.04732330430011</v>
      </c>
    </row>
    <row r="186" spans="1:17" outlineLevel="1">
      <c r="A186" s="1" t="s">
        <v>286</v>
      </c>
      <c r="B186" s="1" t="s">
        <v>287</v>
      </c>
      <c r="D186" s="9">
        <f>+assessment!H186</f>
        <v>7.6544953404704039E-4</v>
      </c>
      <c r="F186" s="2">
        <f>+assessment!J186</f>
        <v>40056.166420568064</v>
      </c>
      <c r="H186" s="22">
        <v>-34463.037466573267</v>
      </c>
      <c r="J186" s="4">
        <f t="shared" si="12"/>
        <v>5593.1289539947975</v>
      </c>
      <c r="K186" s="22">
        <v>-450</v>
      </c>
      <c r="L186" s="22">
        <f t="shared" si="13"/>
        <v>-34913.037466573267</v>
      </c>
      <c r="M186" s="66">
        <v>2</v>
      </c>
      <c r="N186" s="67">
        <v>0</v>
      </c>
      <c r="O186" s="51">
        <v>225</v>
      </c>
      <c r="P186" s="51">
        <f t="shared" si="15"/>
        <v>0</v>
      </c>
      <c r="Q186" s="53">
        <f t="shared" si="14"/>
        <v>5593.1289539947975</v>
      </c>
    </row>
    <row r="187" spans="1:17" outlineLevel="1">
      <c r="A187" s="1" t="s">
        <v>288</v>
      </c>
      <c r="B187" s="1" t="s">
        <v>289</v>
      </c>
      <c r="D187" s="9">
        <f>+assessment!H187</f>
        <v>1.5939280597768956E-5</v>
      </c>
      <c r="F187" s="2">
        <f>+assessment!J187</f>
        <v>834.10655810671415</v>
      </c>
      <c r="H187" s="22">
        <v>-717.63294939967363</v>
      </c>
      <c r="J187" s="4">
        <f t="shared" si="12"/>
        <v>116.47360870704051</v>
      </c>
      <c r="K187" s="22">
        <v>0</v>
      </c>
      <c r="L187" s="22">
        <f t="shared" si="13"/>
        <v>-717.63294939967363</v>
      </c>
      <c r="M187" s="66">
        <v>0</v>
      </c>
      <c r="N187" s="67">
        <v>0</v>
      </c>
      <c r="O187" s="51">
        <v>225</v>
      </c>
      <c r="P187" s="51">
        <f t="shared" si="15"/>
        <v>0</v>
      </c>
      <c r="Q187" s="53">
        <f t="shared" si="14"/>
        <v>116.47360870704051</v>
      </c>
    </row>
    <row r="188" spans="1:17" outlineLevel="1">
      <c r="A188" s="1" t="s">
        <v>290</v>
      </c>
      <c r="B188" s="1" t="s">
        <v>291</v>
      </c>
      <c r="D188" s="9">
        <f>+assessment!H188</f>
        <v>3.0426790144364473E-6</v>
      </c>
      <c r="F188" s="2">
        <f>+assessment!J188</f>
        <v>159.22415723770808</v>
      </c>
      <c r="H188" s="22">
        <v>-136.98748558156365</v>
      </c>
      <c r="J188" s="4">
        <f t="shared" si="12"/>
        <v>22.236671656144438</v>
      </c>
      <c r="K188" s="22">
        <v>0</v>
      </c>
      <c r="L188" s="22">
        <f t="shared" si="13"/>
        <v>-136.98748558156365</v>
      </c>
      <c r="M188" s="66">
        <v>0</v>
      </c>
      <c r="N188" s="67">
        <v>0</v>
      </c>
      <c r="O188" s="51">
        <v>225</v>
      </c>
      <c r="P188" s="51">
        <f t="shared" si="15"/>
        <v>0</v>
      </c>
      <c r="Q188" s="53">
        <f t="shared" si="14"/>
        <v>22.236671656144438</v>
      </c>
    </row>
    <row r="189" spans="1:17" outlineLevel="1">
      <c r="A189" s="1" t="s">
        <v>292</v>
      </c>
      <c r="B189" s="1" t="s">
        <v>293</v>
      </c>
      <c r="D189" s="9">
        <f>+assessment!H189</f>
        <v>1.4692288479796923E-5</v>
      </c>
      <c r="F189" s="2">
        <f>+assessment!J189</f>
        <v>768.85114729140776</v>
      </c>
      <c r="H189" s="22">
        <v>-661.49404588724497</v>
      </c>
      <c r="J189" s="4">
        <f t="shared" si="12"/>
        <v>107.35710140416279</v>
      </c>
      <c r="K189" s="22">
        <v>0</v>
      </c>
      <c r="L189" s="22">
        <f t="shared" si="13"/>
        <v>-661.49404588724497</v>
      </c>
      <c r="M189" s="66">
        <v>0</v>
      </c>
      <c r="N189" s="67">
        <v>0</v>
      </c>
      <c r="O189" s="51">
        <v>225</v>
      </c>
      <c r="P189" s="51">
        <f t="shared" si="15"/>
        <v>0</v>
      </c>
      <c r="Q189" s="53">
        <f t="shared" si="14"/>
        <v>107.35710140416279</v>
      </c>
    </row>
    <row r="190" spans="1:17" outlineLevel="1">
      <c r="A190" s="1" t="s">
        <v>294</v>
      </c>
      <c r="B190" s="1" t="s">
        <v>295</v>
      </c>
      <c r="D190" s="9">
        <f>+assessment!H190</f>
        <v>2.6864267298332118E-4</v>
      </c>
      <c r="F190" s="2">
        <f>+assessment!J190</f>
        <v>14058.138568315931</v>
      </c>
      <c r="H190" s="22">
        <v>-12095.054953496288</v>
      </c>
      <c r="J190" s="4">
        <f t="shared" si="12"/>
        <v>1963.0836148196431</v>
      </c>
      <c r="K190" s="22">
        <v>0</v>
      </c>
      <c r="L190" s="22">
        <f t="shared" si="13"/>
        <v>-12095.054953496288</v>
      </c>
      <c r="M190" s="66">
        <v>0</v>
      </c>
      <c r="N190" s="67">
        <v>0</v>
      </c>
      <c r="O190" s="51">
        <v>225</v>
      </c>
      <c r="P190" s="51">
        <f t="shared" si="15"/>
        <v>0</v>
      </c>
      <c r="Q190" s="53">
        <f t="shared" si="14"/>
        <v>1963.0836148196431</v>
      </c>
    </row>
    <row r="191" spans="1:17" outlineLevel="1">
      <c r="A191" s="1" t="s">
        <v>296</v>
      </c>
      <c r="B191" s="1" t="s">
        <v>297</v>
      </c>
      <c r="D191" s="9">
        <f>+assessment!H191</f>
        <v>1.4999732828955483E-5</v>
      </c>
      <c r="F191" s="2">
        <f>+assessment!J191</f>
        <v>784.93978732211906</v>
      </c>
      <c r="H191" s="22">
        <v>-675.33574411202733</v>
      </c>
      <c r="J191" s="4">
        <f t="shared" si="12"/>
        <v>109.60404321009173</v>
      </c>
      <c r="K191" s="22">
        <v>-225</v>
      </c>
      <c r="L191" s="22">
        <f t="shared" si="13"/>
        <v>-900.33574411202733</v>
      </c>
      <c r="M191" s="66">
        <v>1</v>
      </c>
      <c r="N191" s="67">
        <v>0</v>
      </c>
      <c r="O191" s="51">
        <v>225</v>
      </c>
      <c r="P191" s="51">
        <f t="shared" si="15"/>
        <v>0</v>
      </c>
      <c r="Q191" s="53">
        <f t="shared" si="14"/>
        <v>109.60404321009173</v>
      </c>
    </row>
    <row r="192" spans="1:17" outlineLevel="1">
      <c r="A192" s="1" t="s">
        <v>298</v>
      </c>
      <c r="B192" s="1" t="s">
        <v>299</v>
      </c>
      <c r="D192" s="9">
        <f>+assessment!H192</f>
        <v>6.3900586160776744E-6</v>
      </c>
      <c r="F192" s="2">
        <f>+assessment!J192</f>
        <v>334.39337275377085</v>
      </c>
      <c r="H192" s="22">
        <v>-287.69764402198535</v>
      </c>
      <c r="J192" s="4">
        <f t="shared" si="12"/>
        <v>46.695728731785493</v>
      </c>
      <c r="K192" s="22">
        <v>0</v>
      </c>
      <c r="L192" s="22">
        <f t="shared" si="13"/>
        <v>-287.69764402198535</v>
      </c>
      <c r="M192" s="66">
        <v>0</v>
      </c>
      <c r="N192" s="67">
        <v>0</v>
      </c>
      <c r="O192" s="51">
        <v>225</v>
      </c>
      <c r="P192" s="51">
        <f t="shared" si="15"/>
        <v>0</v>
      </c>
      <c r="Q192" s="53">
        <f t="shared" si="14"/>
        <v>46.695728731785493</v>
      </c>
    </row>
    <row r="193" spans="1:17" outlineLevel="1">
      <c r="A193" s="1" t="s">
        <v>300</v>
      </c>
      <c r="B193" s="1" t="s">
        <v>301</v>
      </c>
      <c r="D193" s="9">
        <f>+assessment!H193</f>
        <v>1.6434879999650598E-5</v>
      </c>
      <c r="F193" s="2">
        <f>+assessment!J193</f>
        <v>860.04139931661814</v>
      </c>
      <c r="H193" s="22">
        <v>-739.94740127747662</v>
      </c>
      <c r="J193" s="4">
        <f t="shared" si="12"/>
        <v>120.09399803914152</v>
      </c>
      <c r="K193" s="22">
        <v>0</v>
      </c>
      <c r="L193" s="22">
        <f t="shared" si="13"/>
        <v>-739.94740127747662</v>
      </c>
      <c r="M193" s="66">
        <v>0</v>
      </c>
      <c r="N193" s="67">
        <v>0</v>
      </c>
      <c r="O193" s="51">
        <v>225</v>
      </c>
      <c r="P193" s="51">
        <f t="shared" si="15"/>
        <v>0</v>
      </c>
      <c r="Q193" s="53">
        <f t="shared" si="14"/>
        <v>120.09399803914152</v>
      </c>
    </row>
    <row r="194" spans="1:17" outlineLevel="1">
      <c r="A194" s="1" t="s">
        <v>302</v>
      </c>
      <c r="B194" s="1" t="s">
        <v>303</v>
      </c>
      <c r="D194" s="9">
        <f>+assessment!H194</f>
        <v>1.9084007198647977E-5</v>
      </c>
      <c r="F194" s="2">
        <f>+assessment!J194</f>
        <v>998.67089118037723</v>
      </c>
      <c r="H194" s="22">
        <v>-859.23111098214781</v>
      </c>
      <c r="J194" s="4">
        <f t="shared" si="12"/>
        <v>139.43978019822941</v>
      </c>
      <c r="K194" s="22">
        <v>0</v>
      </c>
      <c r="L194" s="22">
        <f t="shared" si="13"/>
        <v>-859.23111098214781</v>
      </c>
      <c r="M194" s="66">
        <v>0</v>
      </c>
      <c r="N194" s="67">
        <v>0</v>
      </c>
      <c r="O194" s="51">
        <v>225</v>
      </c>
      <c r="P194" s="51">
        <f t="shared" si="15"/>
        <v>0</v>
      </c>
      <c r="Q194" s="53">
        <f t="shared" si="14"/>
        <v>139.43978019822941</v>
      </c>
    </row>
    <row r="195" spans="1:17" outlineLevel="1">
      <c r="A195" s="1" t="s">
        <v>304</v>
      </c>
      <c r="B195" s="1" t="s">
        <v>305</v>
      </c>
      <c r="D195" s="9">
        <f>+assessment!H195</f>
        <v>4.0169715570815114E-5</v>
      </c>
      <c r="F195" s="2">
        <f>+assessment!J195</f>
        <v>2102.0913076583979</v>
      </c>
      <c r="H195" s="22">
        <v>-1808.5413841873133</v>
      </c>
      <c r="J195" s="4">
        <f t="shared" si="12"/>
        <v>293.54992347108464</v>
      </c>
      <c r="K195" s="22">
        <v>0</v>
      </c>
      <c r="L195" s="22">
        <f t="shared" si="13"/>
        <v>-1808.5413841873133</v>
      </c>
      <c r="M195" s="66">
        <v>0</v>
      </c>
      <c r="N195" s="67">
        <v>0</v>
      </c>
      <c r="O195" s="51">
        <v>225</v>
      </c>
      <c r="P195" s="51">
        <f t="shared" si="15"/>
        <v>0</v>
      </c>
      <c r="Q195" s="53">
        <f t="shared" si="14"/>
        <v>293.54992347108464</v>
      </c>
    </row>
    <row r="196" spans="1:17" outlineLevel="1">
      <c r="A196" s="1" t="s">
        <v>306</v>
      </c>
      <c r="B196" s="1" t="s">
        <v>307</v>
      </c>
      <c r="D196" s="9">
        <f>+assessment!H196</f>
        <v>2.0024493080325688E-5</v>
      </c>
      <c r="F196" s="2">
        <f>+assessment!J196</f>
        <v>1047.8867536468399</v>
      </c>
      <c r="H196" s="22">
        <v>-901.57130925731622</v>
      </c>
      <c r="J196" s="4">
        <f t="shared" si="12"/>
        <v>146.31544438952369</v>
      </c>
      <c r="K196" s="22">
        <v>0</v>
      </c>
      <c r="L196" s="22">
        <f t="shared" si="13"/>
        <v>-901.57130925731622</v>
      </c>
      <c r="M196" s="66">
        <v>0</v>
      </c>
      <c r="N196" s="67">
        <v>0</v>
      </c>
      <c r="O196" s="51">
        <v>225</v>
      </c>
      <c r="P196" s="51">
        <f t="shared" si="15"/>
        <v>0</v>
      </c>
      <c r="Q196" s="53">
        <f t="shared" si="14"/>
        <v>146.31544438952369</v>
      </c>
    </row>
    <row r="197" spans="1:17" outlineLevel="1">
      <c r="A197" s="1" t="s">
        <v>308</v>
      </c>
      <c r="B197" s="1" t="s">
        <v>309</v>
      </c>
      <c r="D197" s="9">
        <f>+assessment!H197</f>
        <v>1.7001322012219288E-4</v>
      </c>
      <c r="F197" s="2">
        <f>+assessment!J197</f>
        <v>8896.8345214156452</v>
      </c>
      <c r="H197" s="22">
        <v>-7654.1975184016028</v>
      </c>
      <c r="J197" s="4">
        <f t="shared" si="12"/>
        <v>1242.6370030140424</v>
      </c>
      <c r="K197" s="22">
        <v>0</v>
      </c>
      <c r="L197" s="22">
        <f t="shared" si="13"/>
        <v>-7654.1975184016028</v>
      </c>
      <c r="M197" s="66">
        <v>0</v>
      </c>
      <c r="N197" s="67">
        <v>0</v>
      </c>
      <c r="O197" s="51">
        <v>225</v>
      </c>
      <c r="P197" s="51">
        <f t="shared" si="15"/>
        <v>0</v>
      </c>
      <c r="Q197" s="53">
        <f t="shared" si="14"/>
        <v>1242.6370030140424</v>
      </c>
    </row>
    <row r="198" spans="1:17" outlineLevel="1">
      <c r="A198" s="1" t="s">
        <v>310</v>
      </c>
      <c r="B198" s="1" t="s">
        <v>311</v>
      </c>
      <c r="D198" s="9">
        <f>+assessment!H198</f>
        <v>2.7631517758007529E-5</v>
      </c>
      <c r="F198" s="2">
        <f>+assessment!J198</f>
        <v>1445.9642661427404</v>
      </c>
      <c r="H198" s="22">
        <v>-1244.0506125724969</v>
      </c>
      <c r="J198" s="4">
        <f t="shared" si="12"/>
        <v>201.91365357024347</v>
      </c>
      <c r="K198" s="22">
        <v>-225</v>
      </c>
      <c r="L198" s="22">
        <f t="shared" si="13"/>
        <v>-1469.0506125724969</v>
      </c>
      <c r="M198" s="66">
        <v>1</v>
      </c>
      <c r="N198" s="67">
        <v>0</v>
      </c>
      <c r="O198" s="51">
        <v>225</v>
      </c>
      <c r="P198" s="51">
        <f t="shared" si="15"/>
        <v>0</v>
      </c>
      <c r="Q198" s="53">
        <f t="shared" si="14"/>
        <v>201.91365357024347</v>
      </c>
    </row>
    <row r="199" spans="1:17" outlineLevel="1">
      <c r="A199" s="1" t="s">
        <v>312</v>
      </c>
      <c r="B199" s="1" t="s">
        <v>313</v>
      </c>
      <c r="D199" s="9">
        <f>+assessment!H199</f>
        <v>9.6875150596942384E-5</v>
      </c>
      <c r="F199" s="2">
        <f>+assessment!J199</f>
        <v>5069.5009686820795</v>
      </c>
      <c r="H199" s="22">
        <v>-4361.6378256703574</v>
      </c>
      <c r="J199" s="4">
        <f t="shared" si="12"/>
        <v>707.86314301172206</v>
      </c>
      <c r="K199" s="22">
        <v>0</v>
      </c>
      <c r="L199" s="22">
        <f t="shared" si="13"/>
        <v>-4361.6378256703574</v>
      </c>
      <c r="M199" s="66">
        <v>0</v>
      </c>
      <c r="N199" s="67">
        <v>0</v>
      </c>
      <c r="O199" s="51">
        <v>225</v>
      </c>
      <c r="P199" s="51">
        <f t="shared" si="15"/>
        <v>0</v>
      </c>
      <c r="Q199" s="53">
        <f t="shared" si="14"/>
        <v>707.86314301172206</v>
      </c>
    </row>
    <row r="200" spans="1:17" outlineLevel="1">
      <c r="A200" s="1" t="s">
        <v>314</v>
      </c>
      <c r="B200" s="1" t="s">
        <v>315</v>
      </c>
      <c r="D200" s="9">
        <f>+assessment!H200</f>
        <v>2.0122175520072992E-5</v>
      </c>
      <c r="F200" s="2">
        <f>+assessment!J200</f>
        <v>1052.9985002595756</v>
      </c>
      <c r="H200" s="22">
        <v>-905.95682833528394</v>
      </c>
      <c r="J200" s="4">
        <f t="shared" si="12"/>
        <v>147.04167192429168</v>
      </c>
      <c r="K200" s="22">
        <v>0</v>
      </c>
      <c r="L200" s="22">
        <f t="shared" si="13"/>
        <v>-905.95682833528394</v>
      </c>
      <c r="M200" s="66">
        <v>0</v>
      </c>
      <c r="N200" s="67">
        <v>0</v>
      </c>
      <c r="O200" s="51">
        <v>225</v>
      </c>
      <c r="P200" s="51">
        <f t="shared" si="15"/>
        <v>0</v>
      </c>
      <c r="Q200" s="53">
        <f t="shared" si="14"/>
        <v>147.04167192429168</v>
      </c>
    </row>
    <row r="201" spans="1:17" outlineLevel="1">
      <c r="A201" s="1" t="s">
        <v>316</v>
      </c>
      <c r="B201" s="1" t="s">
        <v>317</v>
      </c>
      <c r="D201" s="9">
        <f>+assessment!H201</f>
        <v>9.0979471048387536E-5</v>
      </c>
      <c r="F201" s="2">
        <f>+assessment!J201</f>
        <v>4760.978576734632</v>
      </c>
      <c r="H201" s="22">
        <v>-4096.1882469850489</v>
      </c>
      <c r="J201" s="4">
        <f t="shared" si="12"/>
        <v>664.79032974958318</v>
      </c>
      <c r="K201" s="22">
        <v>-225</v>
      </c>
      <c r="L201" s="22">
        <f t="shared" si="13"/>
        <v>-4321.1882469850489</v>
      </c>
      <c r="M201" s="66">
        <v>1</v>
      </c>
      <c r="N201" s="67">
        <v>0</v>
      </c>
      <c r="O201" s="51">
        <v>225</v>
      </c>
      <c r="P201" s="51">
        <f t="shared" si="15"/>
        <v>0</v>
      </c>
      <c r="Q201" s="53">
        <f t="shared" si="14"/>
        <v>664.79032974958318</v>
      </c>
    </row>
    <row r="202" spans="1:17" outlineLevel="1">
      <c r="A202" s="1" t="s">
        <v>318</v>
      </c>
      <c r="B202" s="1" t="s">
        <v>319</v>
      </c>
      <c r="D202" s="9">
        <f>+assessment!H202</f>
        <v>7.7535952422759084E-6</v>
      </c>
      <c r="F202" s="2">
        <f>+assessment!J202</f>
        <v>405.74758696403103</v>
      </c>
      <c r="H202" s="22">
        <v>-349.08566766873082</v>
      </c>
      <c r="J202" s="4">
        <f t="shared" si="12"/>
        <v>56.661919295300208</v>
      </c>
      <c r="K202" s="22">
        <v>0</v>
      </c>
      <c r="L202" s="22">
        <f t="shared" si="13"/>
        <v>-349.08566766873082</v>
      </c>
      <c r="M202" s="66">
        <v>0</v>
      </c>
      <c r="N202" s="67">
        <v>0</v>
      </c>
      <c r="O202" s="51">
        <v>225</v>
      </c>
      <c r="P202" s="51">
        <f t="shared" si="15"/>
        <v>0</v>
      </c>
      <c r="Q202" s="53">
        <f t="shared" si="14"/>
        <v>56.661919295300208</v>
      </c>
    </row>
    <row r="203" spans="1:17" outlineLevel="1">
      <c r="A203" s="1" t="s">
        <v>320</v>
      </c>
      <c r="B203" s="1" t="s">
        <v>321</v>
      </c>
      <c r="D203" s="9">
        <f>+assessment!H203</f>
        <v>3.010606118436513E-5</v>
      </c>
      <c r="F203" s="2">
        <f>+assessment!J203</f>
        <v>1575.4577453235788</v>
      </c>
      <c r="H203" s="22">
        <v>-1355.4681213821013</v>
      </c>
      <c r="J203" s="4">
        <f t="shared" si="12"/>
        <v>219.98962394147748</v>
      </c>
      <c r="K203" s="22">
        <v>0</v>
      </c>
      <c r="L203" s="22">
        <f t="shared" si="13"/>
        <v>-1355.4681213821013</v>
      </c>
      <c r="M203" s="66">
        <v>0</v>
      </c>
      <c r="N203" s="67">
        <v>0</v>
      </c>
      <c r="O203" s="51">
        <v>225</v>
      </c>
      <c r="P203" s="51">
        <f t="shared" si="15"/>
        <v>0</v>
      </c>
      <c r="Q203" s="53">
        <f t="shared" si="14"/>
        <v>219.98962394147748</v>
      </c>
    </row>
    <row r="204" spans="1:17" outlineLevel="1">
      <c r="A204" s="1" t="s">
        <v>492</v>
      </c>
      <c r="B204" s="1" t="s">
        <v>490</v>
      </c>
      <c r="D204" s="9">
        <f>+assessment!H204</f>
        <v>7.1076627845285782E-4</v>
      </c>
      <c r="F204" s="2">
        <f>+assessment!J204</f>
        <v>37194.577917250186</v>
      </c>
      <c r="H204" s="22">
        <v>-31999.115364207202</v>
      </c>
      <c r="J204" s="4">
        <f t="shared" ref="J204:J261" si="16">SUM(F204:H204)</f>
        <v>5195.4625530429839</v>
      </c>
      <c r="K204" s="22">
        <v>0</v>
      </c>
      <c r="L204" s="22">
        <f t="shared" ref="L204:L261" si="17">H204+K204</f>
        <v>-31999.115364207202</v>
      </c>
      <c r="M204" s="66">
        <v>0</v>
      </c>
      <c r="N204" s="67">
        <v>0</v>
      </c>
      <c r="O204" s="51">
        <v>225</v>
      </c>
      <c r="P204" s="51">
        <f t="shared" si="15"/>
        <v>0</v>
      </c>
      <c r="Q204" s="53">
        <f t="shared" ref="Q204:Q261" si="18">P204+J204</f>
        <v>5195.4625530429839</v>
      </c>
    </row>
    <row r="205" spans="1:17" outlineLevel="1">
      <c r="A205" s="1" t="s">
        <v>322</v>
      </c>
      <c r="B205" s="1" t="s">
        <v>323</v>
      </c>
      <c r="D205" s="9">
        <f>+assessment!H205</f>
        <v>2.6845504015152007E-5</v>
      </c>
      <c r="F205" s="2">
        <f>+assessment!J205</f>
        <v>1404.8319695088783</v>
      </c>
      <c r="H205" s="22">
        <v>-1208.6680432739076</v>
      </c>
      <c r="J205" s="4">
        <f t="shared" si="16"/>
        <v>196.16392623497063</v>
      </c>
      <c r="K205" s="22">
        <v>0</v>
      </c>
      <c r="L205" s="22">
        <f t="shared" si="17"/>
        <v>-1208.6680432739076</v>
      </c>
      <c r="M205" s="66">
        <v>0</v>
      </c>
      <c r="N205" s="67">
        <v>0</v>
      </c>
      <c r="O205" s="51">
        <v>225</v>
      </c>
      <c r="P205" s="51">
        <f t="shared" si="15"/>
        <v>0</v>
      </c>
      <c r="Q205" s="53">
        <f t="shared" si="18"/>
        <v>196.16392623497063</v>
      </c>
    </row>
    <row r="206" spans="1:17" outlineLevel="1">
      <c r="A206" s="1" t="s">
        <v>324</v>
      </c>
      <c r="B206" s="1" t="s">
        <v>325</v>
      </c>
      <c r="D206" s="9">
        <f>+assessment!H206</f>
        <v>1.7791381419921769E-5</v>
      </c>
      <c r="F206" s="2">
        <f>+assessment!J206</f>
        <v>931.02745943326033</v>
      </c>
      <c r="H206" s="22">
        <v>-801.01037134068429</v>
      </c>
      <c r="J206" s="4">
        <f t="shared" si="16"/>
        <v>130.01708809257605</v>
      </c>
      <c r="K206" s="22">
        <v>0</v>
      </c>
      <c r="L206" s="22">
        <f t="shared" si="17"/>
        <v>-801.01037134068429</v>
      </c>
      <c r="M206" s="66">
        <v>0</v>
      </c>
      <c r="N206" s="67">
        <v>0</v>
      </c>
      <c r="O206" s="51">
        <v>225</v>
      </c>
      <c r="P206" s="51">
        <f t="shared" si="15"/>
        <v>0</v>
      </c>
      <c r="Q206" s="53">
        <f t="shared" si="18"/>
        <v>130.01708809257605</v>
      </c>
    </row>
    <row r="207" spans="1:17" outlineLevel="1">
      <c r="A207" s="1" t="s">
        <v>326</v>
      </c>
      <c r="B207" s="1" t="s">
        <v>327</v>
      </c>
      <c r="D207" s="9">
        <f>+assessment!H207</f>
        <v>1.2050265605170146E-5</v>
      </c>
      <c r="F207" s="2">
        <f>+assessment!J207</f>
        <v>630.59342650678184</v>
      </c>
      <c r="H207" s="22">
        <v>-542.54301911715913</v>
      </c>
      <c r="J207" s="4">
        <f t="shared" si="16"/>
        <v>88.050407389622706</v>
      </c>
      <c r="K207" s="22">
        <v>0</v>
      </c>
      <c r="L207" s="22">
        <f t="shared" si="17"/>
        <v>-542.54301911715913</v>
      </c>
      <c r="M207" s="66">
        <v>0</v>
      </c>
      <c r="N207" s="67">
        <v>0</v>
      </c>
      <c r="O207" s="51">
        <v>225</v>
      </c>
      <c r="P207" s="51">
        <f t="shared" si="15"/>
        <v>0</v>
      </c>
      <c r="Q207" s="53">
        <f t="shared" si="18"/>
        <v>88.050407389622706</v>
      </c>
    </row>
    <row r="208" spans="1:17" outlineLevel="1">
      <c r="A208" s="1" t="s">
        <v>328</v>
      </c>
      <c r="B208" s="1" t="s">
        <v>329</v>
      </c>
      <c r="D208" s="9">
        <f>+assessment!H208</f>
        <v>4.6869295731502124E-6</v>
      </c>
      <c r="F208" s="2">
        <f>+assessment!J208</f>
        <v>245.2682020602673</v>
      </c>
      <c r="H208" s="22">
        <v>-211.01776579221473</v>
      </c>
      <c r="J208" s="4">
        <f t="shared" si="16"/>
        <v>34.250436268052567</v>
      </c>
      <c r="K208" s="22">
        <v>0</v>
      </c>
      <c r="L208" s="22">
        <f t="shared" si="17"/>
        <v>-211.01776579221473</v>
      </c>
      <c r="M208" s="66">
        <v>0</v>
      </c>
      <c r="N208" s="67">
        <v>0</v>
      </c>
      <c r="O208" s="51">
        <v>225</v>
      </c>
      <c r="P208" s="51">
        <f t="shared" si="15"/>
        <v>0</v>
      </c>
      <c r="Q208" s="53">
        <f t="shared" si="18"/>
        <v>34.250436268052567</v>
      </c>
    </row>
    <row r="209" spans="1:17" outlineLevel="1">
      <c r="A209" s="1" t="s">
        <v>330</v>
      </c>
      <c r="B209" s="1" t="s">
        <v>331</v>
      </c>
      <c r="D209" s="9">
        <f>+assessment!H209</f>
        <v>6.5973569042132222E-5</v>
      </c>
      <c r="F209" s="2">
        <f>+assessment!J209</f>
        <v>3452.4134425145298</v>
      </c>
      <c r="H209" s="22">
        <v>-2970.3116116598258</v>
      </c>
      <c r="J209" s="4">
        <f t="shared" si="16"/>
        <v>482.10183085470408</v>
      </c>
      <c r="K209" s="22">
        <v>0</v>
      </c>
      <c r="L209" s="22">
        <f t="shared" si="17"/>
        <v>-2970.3116116598258</v>
      </c>
      <c r="M209" s="66">
        <v>0</v>
      </c>
      <c r="N209" s="67">
        <v>0</v>
      </c>
      <c r="O209" s="51">
        <v>225</v>
      </c>
      <c r="P209" s="51">
        <f t="shared" si="15"/>
        <v>0</v>
      </c>
      <c r="Q209" s="53">
        <f t="shared" si="18"/>
        <v>482.10183085470408</v>
      </c>
    </row>
    <row r="210" spans="1:17" outlineLevel="1">
      <c r="A210" s="1" t="s">
        <v>332</v>
      </c>
      <c r="B210" s="1" t="s">
        <v>561</v>
      </c>
      <c r="D210" s="9">
        <f>+assessment!H210</f>
        <v>1.719381268065094E-5</v>
      </c>
      <c r="F210" s="2">
        <f>+assessment!J210</f>
        <v>899.75653718002354</v>
      </c>
      <c r="H210" s="22">
        <v>-774.12415130181466</v>
      </c>
      <c r="J210" s="4">
        <f t="shared" si="16"/>
        <v>125.63238587820888</v>
      </c>
      <c r="K210" s="22">
        <v>0</v>
      </c>
      <c r="L210" s="22">
        <f t="shared" si="17"/>
        <v>-774.12415130181466</v>
      </c>
      <c r="M210" s="66">
        <v>0</v>
      </c>
      <c r="N210" s="67">
        <v>0</v>
      </c>
      <c r="O210" s="51">
        <v>225</v>
      </c>
      <c r="P210" s="51">
        <f t="shared" si="15"/>
        <v>0</v>
      </c>
      <c r="Q210" s="53">
        <f t="shared" si="18"/>
        <v>125.63238587820888</v>
      </c>
    </row>
    <row r="211" spans="1:17" outlineLevel="1">
      <c r="A211" s="1" t="s">
        <v>334</v>
      </c>
      <c r="B211" s="1" t="s">
        <v>335</v>
      </c>
      <c r="D211" s="9">
        <f>+assessment!H211</f>
        <v>1.3266903592015337E-5</v>
      </c>
      <c r="F211" s="2">
        <f>+assessment!J211</f>
        <v>694.26039801435206</v>
      </c>
      <c r="H211" s="22">
        <v>-597.31743491340524</v>
      </c>
      <c r="J211" s="4">
        <f t="shared" si="16"/>
        <v>96.942963100946827</v>
      </c>
      <c r="K211" s="22">
        <v>0</v>
      </c>
      <c r="L211" s="22">
        <f t="shared" si="17"/>
        <v>-597.31743491340524</v>
      </c>
      <c r="M211" s="66">
        <v>0</v>
      </c>
      <c r="N211" s="67">
        <v>0</v>
      </c>
      <c r="O211" s="51">
        <v>225</v>
      </c>
      <c r="P211" s="51">
        <f t="shared" si="15"/>
        <v>0</v>
      </c>
      <c r="Q211" s="53">
        <f t="shared" si="18"/>
        <v>96.942963100946827</v>
      </c>
    </row>
    <row r="212" spans="1:17" outlineLevel="1">
      <c r="A212" s="1" t="s">
        <v>336</v>
      </c>
      <c r="B212" s="1" t="s">
        <v>337</v>
      </c>
      <c r="D212" s="9">
        <f>+assessment!H212</f>
        <v>2.2703359114389181E-4</v>
      </c>
      <c r="F212" s="2">
        <f>+assessment!J212</f>
        <v>11880.724862208963</v>
      </c>
      <c r="H212" s="22">
        <v>-10221.807812775736</v>
      </c>
      <c r="J212" s="4">
        <f t="shared" si="16"/>
        <v>1658.9170494332266</v>
      </c>
      <c r="K212" s="22">
        <v>-450</v>
      </c>
      <c r="L212" s="22">
        <f t="shared" si="17"/>
        <v>-10671.807812775736</v>
      </c>
      <c r="M212" s="66">
        <v>2</v>
      </c>
      <c r="N212" s="67">
        <v>0</v>
      </c>
      <c r="O212" s="51">
        <v>225</v>
      </c>
      <c r="P212" s="51">
        <f t="shared" si="15"/>
        <v>0</v>
      </c>
      <c r="Q212" s="53">
        <f t="shared" si="18"/>
        <v>1658.9170494332266</v>
      </c>
    </row>
    <row r="213" spans="1:17" outlineLevel="1">
      <c r="A213" s="1" t="s">
        <v>589</v>
      </c>
      <c r="B213" s="1" t="s">
        <v>339</v>
      </c>
      <c r="D213" s="9">
        <f>+assessment!H213</f>
        <v>2.7008654847223833E-5</v>
      </c>
      <c r="F213" s="2">
        <f>+assessment!J213</f>
        <v>1413.3696935395806</v>
      </c>
      <c r="H213" s="22">
        <v>-1216.003646488369</v>
      </c>
      <c r="J213" s="4">
        <f t="shared" si="16"/>
        <v>197.36604705121158</v>
      </c>
      <c r="K213" s="22">
        <v>0</v>
      </c>
      <c r="L213" s="22">
        <f t="shared" si="17"/>
        <v>-1216.003646488369</v>
      </c>
      <c r="M213" s="66">
        <v>0</v>
      </c>
      <c r="N213" s="67">
        <v>1</v>
      </c>
      <c r="O213" s="51">
        <v>225</v>
      </c>
      <c r="P213" s="51">
        <f t="shared" si="15"/>
        <v>225</v>
      </c>
      <c r="Q213" s="53">
        <f t="shared" si="18"/>
        <v>422.36604705121158</v>
      </c>
    </row>
    <row r="214" spans="1:17" outlineLevel="1">
      <c r="A214" s="1" t="s">
        <v>475</v>
      </c>
      <c r="B214" s="1" t="s">
        <v>342</v>
      </c>
      <c r="D214" s="9">
        <f>+assessment!H214</f>
        <v>1.212191502519595E-5</v>
      </c>
      <c r="F214" s="2">
        <f>+assessment!J214</f>
        <v>634.34285865721586</v>
      </c>
      <c r="H214" s="22">
        <v>-545.76689734732645</v>
      </c>
      <c r="J214" s="4">
        <f t="shared" si="16"/>
        <v>88.575961309889408</v>
      </c>
      <c r="K214" s="22">
        <v>0</v>
      </c>
      <c r="L214" s="22">
        <f t="shared" si="17"/>
        <v>-545.76689734732645</v>
      </c>
      <c r="M214" s="66">
        <v>0</v>
      </c>
      <c r="N214" s="67">
        <v>0</v>
      </c>
      <c r="O214" s="51">
        <v>225</v>
      </c>
      <c r="P214" s="51">
        <f t="shared" si="15"/>
        <v>0</v>
      </c>
      <c r="Q214" s="53">
        <f t="shared" si="18"/>
        <v>88.575961309889408</v>
      </c>
    </row>
    <row r="215" spans="1:17" outlineLevel="1">
      <c r="A215" s="1" t="s">
        <v>476</v>
      </c>
      <c r="B215" s="1" t="s">
        <v>338</v>
      </c>
      <c r="D215" s="9">
        <f>+assessment!H215</f>
        <v>5.7760520528989059E-6</v>
      </c>
      <c r="F215" s="2">
        <f>+assessment!J215</f>
        <v>302.262255045757</v>
      </c>
      <c r="H215" s="22">
        <v>-260.05622579301672</v>
      </c>
      <c r="J215" s="4">
        <f t="shared" si="16"/>
        <v>42.206029252740279</v>
      </c>
      <c r="K215" s="22">
        <v>0</v>
      </c>
      <c r="L215" s="22">
        <f t="shared" si="17"/>
        <v>-260.05622579301672</v>
      </c>
      <c r="M215" s="66">
        <v>0</v>
      </c>
      <c r="N215" s="67">
        <v>0</v>
      </c>
      <c r="O215" s="51">
        <v>225</v>
      </c>
      <c r="P215" s="51">
        <f t="shared" si="15"/>
        <v>0</v>
      </c>
      <c r="Q215" s="53">
        <f t="shared" si="18"/>
        <v>42.206029252740279</v>
      </c>
    </row>
    <row r="216" spans="1:17" outlineLevel="1">
      <c r="A216" s="1" t="s">
        <v>340</v>
      </c>
      <c r="B216" s="1" t="s">
        <v>341</v>
      </c>
      <c r="D216" s="9">
        <f>+assessment!H216</f>
        <v>8.0287803248034343E-5</v>
      </c>
      <c r="F216" s="2">
        <f>+assessment!J216</f>
        <v>4201.4809146744474</v>
      </c>
      <c r="H216" s="22">
        <v>-3614.800323800182</v>
      </c>
      <c r="J216" s="4">
        <f t="shared" si="16"/>
        <v>586.68059087426536</v>
      </c>
      <c r="K216" s="22">
        <v>-225</v>
      </c>
      <c r="L216" s="22">
        <f t="shared" si="17"/>
        <v>-3839.800323800182</v>
      </c>
      <c r="M216" s="66">
        <v>1</v>
      </c>
      <c r="N216" s="67">
        <v>-1</v>
      </c>
      <c r="O216" s="51">
        <v>225</v>
      </c>
      <c r="P216" s="51">
        <f t="shared" si="15"/>
        <v>-225</v>
      </c>
      <c r="Q216" s="53">
        <f t="shared" si="18"/>
        <v>361.68059087426536</v>
      </c>
    </row>
    <row r="217" spans="1:17" outlineLevel="1">
      <c r="A217" s="1" t="s">
        <v>343</v>
      </c>
      <c r="B217" s="1" t="s">
        <v>344</v>
      </c>
      <c r="D217" s="9">
        <f>+assessment!H217</f>
        <v>4.6213949477847142E-4</v>
      </c>
      <c r="F217" s="2">
        <f>+assessment!J217</f>
        <v>24183.875865062684</v>
      </c>
      <c r="H217" s="22">
        <v>-20805.978662709203</v>
      </c>
      <c r="J217" s="4">
        <f t="shared" si="16"/>
        <v>3377.8972023534807</v>
      </c>
      <c r="K217" s="22">
        <v>-225</v>
      </c>
      <c r="L217" s="22">
        <f t="shared" si="17"/>
        <v>-21030.978662709203</v>
      </c>
      <c r="M217" s="66">
        <v>1</v>
      </c>
      <c r="N217" s="67">
        <v>0</v>
      </c>
      <c r="O217" s="51">
        <v>225</v>
      </c>
      <c r="P217" s="51">
        <f t="shared" si="15"/>
        <v>0</v>
      </c>
      <c r="Q217" s="53">
        <f t="shared" si="18"/>
        <v>3377.8972023534807</v>
      </c>
    </row>
    <row r="218" spans="1:17" outlineLevel="1">
      <c r="A218" s="1" t="s">
        <v>345</v>
      </c>
      <c r="B218" s="1" t="s">
        <v>346</v>
      </c>
      <c r="D218" s="9">
        <f>+assessment!H218</f>
        <v>7.966497731636659E-6</v>
      </c>
      <c r="F218" s="2">
        <f>+assessment!J218</f>
        <v>416.88882771977154</v>
      </c>
      <c r="H218" s="22">
        <v>-358.6753517038303</v>
      </c>
      <c r="J218" s="4">
        <f t="shared" si="16"/>
        <v>58.213476015941239</v>
      </c>
      <c r="K218" s="22">
        <v>0</v>
      </c>
      <c r="L218" s="22">
        <f t="shared" si="17"/>
        <v>-358.6753517038303</v>
      </c>
      <c r="M218" s="66">
        <v>0</v>
      </c>
      <c r="N218" s="67">
        <v>0</v>
      </c>
      <c r="O218" s="51">
        <v>225</v>
      </c>
      <c r="P218" s="51">
        <f t="shared" si="15"/>
        <v>0</v>
      </c>
      <c r="Q218" s="53">
        <f t="shared" si="18"/>
        <v>58.213476015941239</v>
      </c>
    </row>
    <row r="219" spans="1:17" outlineLevel="1">
      <c r="A219" s="1" t="s">
        <v>347</v>
      </c>
      <c r="B219" s="1" t="s">
        <v>348</v>
      </c>
      <c r="D219" s="9">
        <f>+assessment!H219</f>
        <v>8.9305918339232871E-6</v>
      </c>
      <c r="F219" s="2">
        <f>+assessment!J219</f>
        <v>467.34011430179208</v>
      </c>
      <c r="H219" s="22">
        <v>-402.08494953778597</v>
      </c>
      <c r="J219" s="4">
        <f t="shared" si="16"/>
        <v>65.255164764006111</v>
      </c>
      <c r="K219" s="22">
        <v>0</v>
      </c>
      <c r="L219" s="22">
        <f t="shared" si="17"/>
        <v>-402.08494953778597</v>
      </c>
      <c r="M219" s="66">
        <v>0</v>
      </c>
      <c r="N219" s="67">
        <v>0</v>
      </c>
      <c r="O219" s="51">
        <v>225</v>
      </c>
      <c r="P219" s="51">
        <f t="shared" si="15"/>
        <v>0</v>
      </c>
      <c r="Q219" s="53">
        <f t="shared" si="18"/>
        <v>65.255164764006111</v>
      </c>
    </row>
    <row r="220" spans="1:17" outlineLevel="1">
      <c r="A220" s="1" t="s">
        <v>349</v>
      </c>
      <c r="B220" s="1" t="s">
        <v>350</v>
      </c>
      <c r="D220" s="9">
        <f>+assessment!H220</f>
        <v>7.4843277711337719E-5</v>
      </c>
      <c r="F220" s="2">
        <f>+assessment!J220</f>
        <v>3916.5675255109627</v>
      </c>
      <c r="H220" s="22">
        <v>-3369.7063755616928</v>
      </c>
      <c r="J220" s="4">
        <f t="shared" si="16"/>
        <v>546.86114994926993</v>
      </c>
      <c r="K220" s="22">
        <v>0</v>
      </c>
      <c r="L220" s="22">
        <f t="shared" si="17"/>
        <v>-3369.7063755616928</v>
      </c>
      <c r="M220" s="66">
        <v>0</v>
      </c>
      <c r="N220" s="67">
        <v>0</v>
      </c>
      <c r="O220" s="51">
        <v>225</v>
      </c>
      <c r="P220" s="51">
        <f t="shared" si="15"/>
        <v>0</v>
      </c>
      <c r="Q220" s="53">
        <f t="shared" si="18"/>
        <v>546.86114994926993</v>
      </c>
    </row>
    <row r="221" spans="1:17" outlineLevel="1">
      <c r="A221" s="1" t="s">
        <v>351</v>
      </c>
      <c r="B221" s="1" t="s">
        <v>352</v>
      </c>
      <c r="D221" s="9">
        <f>+assessment!H221</f>
        <v>1.1123199989231427E-5</v>
      </c>
      <c r="F221" s="2">
        <f>+assessment!J221</f>
        <v>582.07984991801391</v>
      </c>
      <c r="H221" s="22">
        <v>-500.80332678524996</v>
      </c>
      <c r="J221" s="4">
        <f t="shared" si="16"/>
        <v>81.276523132763941</v>
      </c>
      <c r="K221" s="22">
        <v>0</v>
      </c>
      <c r="L221" s="22">
        <f t="shared" si="17"/>
        <v>-500.80332678524996</v>
      </c>
      <c r="M221" s="66">
        <v>0</v>
      </c>
      <c r="N221" s="67">
        <v>0</v>
      </c>
      <c r="O221" s="51">
        <v>225</v>
      </c>
      <c r="P221" s="51">
        <f t="shared" ref="P221:P261" si="19">O221*N221</f>
        <v>0</v>
      </c>
      <c r="Q221" s="53">
        <f t="shared" si="18"/>
        <v>81.276523132763941</v>
      </c>
    </row>
    <row r="222" spans="1:17" outlineLevel="1">
      <c r="A222" s="1" t="s">
        <v>353</v>
      </c>
      <c r="B222" s="1" t="s">
        <v>354</v>
      </c>
      <c r="D222" s="9">
        <f>+assessment!H222</f>
        <v>1.3330836195143868E-5</v>
      </c>
      <c r="F222" s="2">
        <f>+assessment!J222</f>
        <v>697.606007197856</v>
      </c>
      <c r="H222" s="22">
        <v>-600.19723823920037</v>
      </c>
      <c r="J222" s="4">
        <f t="shared" si="16"/>
        <v>97.408768958655628</v>
      </c>
      <c r="K222" s="22">
        <v>0</v>
      </c>
      <c r="L222" s="22">
        <f t="shared" si="17"/>
        <v>-600.19723823920037</v>
      </c>
      <c r="M222" s="66">
        <v>0</v>
      </c>
      <c r="N222" s="67">
        <v>0</v>
      </c>
      <c r="O222" s="51">
        <v>225</v>
      </c>
      <c r="P222" s="51">
        <f t="shared" si="19"/>
        <v>0</v>
      </c>
      <c r="Q222" s="53">
        <f t="shared" si="18"/>
        <v>97.408768958655628</v>
      </c>
    </row>
    <row r="223" spans="1:17" outlineLevel="1">
      <c r="A223" s="1" t="s">
        <v>355</v>
      </c>
      <c r="B223" s="1" t="s">
        <v>356</v>
      </c>
      <c r="D223" s="9">
        <f>+assessment!H223</f>
        <v>3.0597757852509711E-4</v>
      </c>
      <c r="F223" s="2">
        <f>+assessment!J223</f>
        <v>16011.883554965385</v>
      </c>
      <c r="H223" s="22">
        <v>-13775.375060755798</v>
      </c>
      <c r="J223" s="4">
        <f t="shared" si="16"/>
        <v>2236.5084942095873</v>
      </c>
      <c r="K223" s="22">
        <v>0</v>
      </c>
      <c r="L223" s="22">
        <f t="shared" si="17"/>
        <v>-13775.375060755798</v>
      </c>
      <c r="M223" s="66">
        <v>0</v>
      </c>
      <c r="N223" s="67">
        <v>0</v>
      </c>
      <c r="O223" s="51">
        <v>225</v>
      </c>
      <c r="P223" s="51">
        <f t="shared" si="19"/>
        <v>0</v>
      </c>
      <c r="Q223" s="53">
        <f t="shared" si="18"/>
        <v>2236.5084942095873</v>
      </c>
    </row>
    <row r="224" spans="1:17" outlineLevel="1">
      <c r="A224" s="1" t="s">
        <v>357</v>
      </c>
      <c r="B224" s="1" t="s">
        <v>358</v>
      </c>
      <c r="D224" s="9">
        <f>+assessment!H224</f>
        <v>2.0796239411591631E-5</v>
      </c>
      <c r="F224" s="2">
        <f>+assessment!J224</f>
        <v>1088.2724330478175</v>
      </c>
      <c r="H224" s="22">
        <v>-936.31372270677753</v>
      </c>
      <c r="J224" s="4">
        <f t="shared" si="16"/>
        <v>151.95871034103993</v>
      </c>
      <c r="K224" s="22">
        <v>0</v>
      </c>
      <c r="L224" s="22">
        <f t="shared" si="17"/>
        <v>-936.31372270677753</v>
      </c>
      <c r="M224" s="66">
        <v>0</v>
      </c>
      <c r="N224" s="67">
        <v>0</v>
      </c>
      <c r="O224" s="51">
        <v>225</v>
      </c>
      <c r="P224" s="51">
        <f t="shared" si="19"/>
        <v>0</v>
      </c>
      <c r="Q224" s="53">
        <f t="shared" si="18"/>
        <v>151.95871034103993</v>
      </c>
    </row>
    <row r="225" spans="1:17" outlineLevel="1">
      <c r="A225" s="1" t="s">
        <v>359</v>
      </c>
      <c r="B225" s="1" t="s">
        <v>360</v>
      </c>
      <c r="D225" s="9">
        <f>+assessment!H225</f>
        <v>1.0311168952827758E-5</v>
      </c>
      <c r="F225" s="2">
        <f>+assessment!J225</f>
        <v>539.58606177645265</v>
      </c>
      <c r="H225" s="22">
        <v>-464.23723885780475</v>
      </c>
      <c r="J225" s="4">
        <f t="shared" si="16"/>
        <v>75.348822918647897</v>
      </c>
      <c r="K225" s="22">
        <v>0</v>
      </c>
      <c r="L225" s="22">
        <f t="shared" si="17"/>
        <v>-464.23723885780475</v>
      </c>
      <c r="M225" s="66">
        <v>0</v>
      </c>
      <c r="N225" s="67">
        <v>0</v>
      </c>
      <c r="O225" s="51">
        <v>225</v>
      </c>
      <c r="P225" s="51">
        <f t="shared" si="19"/>
        <v>0</v>
      </c>
      <c r="Q225" s="53">
        <f t="shared" si="18"/>
        <v>75.348822918647897</v>
      </c>
    </row>
    <row r="226" spans="1:17" outlineLevel="1">
      <c r="A226" s="1" t="s">
        <v>361</v>
      </c>
      <c r="B226" s="1" t="s">
        <v>362</v>
      </c>
      <c r="D226" s="9">
        <f>+assessment!H226</f>
        <v>3.4832382163038335E-4</v>
      </c>
      <c r="F226" s="2">
        <f>+assessment!J226</f>
        <v>18227.873095311672</v>
      </c>
      <c r="H226" s="22">
        <v>-15682.261889826879</v>
      </c>
      <c r="J226" s="4">
        <f t="shared" si="16"/>
        <v>2545.6112054847927</v>
      </c>
      <c r="K226" s="22">
        <v>-225</v>
      </c>
      <c r="L226" s="22">
        <f t="shared" si="17"/>
        <v>-15907.261889826879</v>
      </c>
      <c r="M226" s="66">
        <v>1</v>
      </c>
      <c r="N226" s="67">
        <v>0</v>
      </c>
      <c r="O226" s="51">
        <v>225</v>
      </c>
      <c r="P226" s="51">
        <f t="shared" si="19"/>
        <v>0</v>
      </c>
      <c r="Q226" s="53">
        <f t="shared" si="18"/>
        <v>2545.6112054847927</v>
      </c>
    </row>
    <row r="227" spans="1:17" outlineLevel="1">
      <c r="A227" s="1" t="s">
        <v>363</v>
      </c>
      <c r="B227" s="1" t="s">
        <v>364</v>
      </c>
      <c r="D227" s="9">
        <f>+assessment!H227</f>
        <v>4.0333035222208384E-5</v>
      </c>
      <c r="F227" s="2">
        <f>+assessment!J227</f>
        <v>2110.6378660466039</v>
      </c>
      <c r="H227" s="22">
        <v>-1815.9612728136085</v>
      </c>
      <c r="J227" s="4">
        <f t="shared" si="16"/>
        <v>294.6765932329954</v>
      </c>
      <c r="K227" s="22">
        <v>0</v>
      </c>
      <c r="L227" s="22">
        <f t="shared" si="17"/>
        <v>-1815.9612728136085</v>
      </c>
      <c r="M227" s="66">
        <v>0</v>
      </c>
      <c r="N227" s="67">
        <v>0</v>
      </c>
      <c r="O227" s="51">
        <v>225</v>
      </c>
      <c r="P227" s="51">
        <f t="shared" si="19"/>
        <v>0</v>
      </c>
      <c r="Q227" s="53">
        <f t="shared" si="18"/>
        <v>294.6765932329954</v>
      </c>
    </row>
    <row r="228" spans="1:17" outlineLevel="1">
      <c r="A228" s="1" t="s">
        <v>365</v>
      </c>
      <c r="B228" s="1" t="s">
        <v>366</v>
      </c>
      <c r="D228" s="9">
        <f>+assessment!H228</f>
        <v>7.1873384214432665E-4</v>
      </c>
      <c r="F228" s="2">
        <f>+assessment!J228</f>
        <v>37611.522526915782</v>
      </c>
      <c r="H228" s="22">
        <v>-32357.809318282874</v>
      </c>
      <c r="J228" s="4">
        <f t="shared" si="16"/>
        <v>5253.7132086329075</v>
      </c>
      <c r="K228" s="22">
        <v>0</v>
      </c>
      <c r="L228" s="22">
        <f t="shared" si="17"/>
        <v>-32357.809318282874</v>
      </c>
      <c r="M228" s="66">
        <v>0</v>
      </c>
      <c r="N228" s="67">
        <v>0</v>
      </c>
      <c r="O228" s="51">
        <v>225</v>
      </c>
      <c r="P228" s="51">
        <f t="shared" si="19"/>
        <v>0</v>
      </c>
      <c r="Q228" s="53">
        <f t="shared" si="18"/>
        <v>5253.7132086329075</v>
      </c>
    </row>
    <row r="229" spans="1:17" outlineLevel="1">
      <c r="A229" s="1" t="s">
        <v>367</v>
      </c>
      <c r="B229" s="1" t="s">
        <v>368</v>
      </c>
      <c r="D229" s="9">
        <f>+assessment!H229</f>
        <v>6.6057264388554962E-6</v>
      </c>
      <c r="F229" s="2">
        <f>+assessment!J229</f>
        <v>345.67932410196136</v>
      </c>
      <c r="H229" s="22">
        <v>-297.40694828346642</v>
      </c>
      <c r="J229" s="4">
        <f t="shared" si="16"/>
        <v>48.272375818494936</v>
      </c>
      <c r="K229" s="22">
        <v>0</v>
      </c>
      <c r="L229" s="22">
        <f t="shared" si="17"/>
        <v>-297.40694828346642</v>
      </c>
      <c r="M229" s="66">
        <v>0</v>
      </c>
      <c r="N229" s="67">
        <v>0</v>
      </c>
      <c r="O229" s="51">
        <v>225</v>
      </c>
      <c r="P229" s="51">
        <f t="shared" si="19"/>
        <v>0</v>
      </c>
      <c r="Q229" s="53">
        <f t="shared" si="18"/>
        <v>48.272375818494936</v>
      </c>
    </row>
    <row r="230" spans="1:17" outlineLevel="1">
      <c r="A230" s="1" t="s">
        <v>369</v>
      </c>
      <c r="B230" s="1" t="s">
        <v>370</v>
      </c>
      <c r="D230" s="9">
        <f>+assessment!H230</f>
        <v>3.6521072267853023E-5</v>
      </c>
      <c r="F230" s="2">
        <f>+assessment!J230</f>
        <v>1911.1568869657347</v>
      </c>
      <c r="H230" s="22">
        <v>-1644.2892926257173</v>
      </c>
      <c r="J230" s="4">
        <f t="shared" si="16"/>
        <v>266.86759434001738</v>
      </c>
      <c r="K230" s="22">
        <v>0</v>
      </c>
      <c r="L230" s="22">
        <f t="shared" si="17"/>
        <v>-1644.2892926257173</v>
      </c>
      <c r="M230" s="66">
        <v>0</v>
      </c>
      <c r="N230" s="67">
        <v>0</v>
      </c>
      <c r="O230" s="51">
        <v>225</v>
      </c>
      <c r="P230" s="51">
        <f t="shared" si="19"/>
        <v>0</v>
      </c>
      <c r="Q230" s="53">
        <f t="shared" si="18"/>
        <v>266.86759434001738</v>
      </c>
    </row>
    <row r="231" spans="1:17" outlineLevel="1">
      <c r="A231" s="1" t="s">
        <v>371</v>
      </c>
      <c r="B231" s="1" t="s">
        <v>372</v>
      </c>
      <c r="D231" s="9">
        <f>+assessment!H231</f>
        <v>1.930088501066841E-5</v>
      </c>
      <c r="F231" s="2">
        <f>+assessment!J231</f>
        <v>1010.0201615696192</v>
      </c>
      <c r="H231" s="22">
        <v>-868.98134553695695</v>
      </c>
      <c r="J231" s="4">
        <f t="shared" si="16"/>
        <v>141.03881603266223</v>
      </c>
      <c r="K231" s="22">
        <v>0</v>
      </c>
      <c r="L231" s="22">
        <f t="shared" si="17"/>
        <v>-868.98134553695695</v>
      </c>
      <c r="M231" s="66">
        <v>0</v>
      </c>
      <c r="N231" s="67">
        <v>0</v>
      </c>
      <c r="O231" s="51">
        <v>225</v>
      </c>
      <c r="P231" s="51">
        <f t="shared" si="19"/>
        <v>0</v>
      </c>
      <c r="Q231" s="53">
        <f t="shared" si="18"/>
        <v>141.03881603266223</v>
      </c>
    </row>
    <row r="232" spans="1:17" outlineLevel="1">
      <c r="A232" s="1" t="s">
        <v>373</v>
      </c>
      <c r="B232" s="1" t="s">
        <v>374</v>
      </c>
      <c r="D232" s="9">
        <f>+assessment!H232</f>
        <v>9.6543021312270051E-5</v>
      </c>
      <c r="F232" s="2">
        <f>+assessment!J232</f>
        <v>5052.1205597743365</v>
      </c>
      <c r="H232" s="22">
        <v>-4346.5697975942448</v>
      </c>
      <c r="J232" s="4">
        <f t="shared" si="16"/>
        <v>705.55076218009162</v>
      </c>
      <c r="K232" s="22">
        <v>0</v>
      </c>
      <c r="L232" s="22">
        <f t="shared" si="17"/>
        <v>-4346.5697975942448</v>
      </c>
      <c r="M232" s="66">
        <v>0</v>
      </c>
      <c r="N232" s="67">
        <v>0</v>
      </c>
      <c r="O232" s="51">
        <v>225</v>
      </c>
      <c r="P232" s="51">
        <f t="shared" si="19"/>
        <v>0</v>
      </c>
      <c r="Q232" s="53">
        <f t="shared" si="18"/>
        <v>705.55076218009162</v>
      </c>
    </row>
    <row r="233" spans="1:17" outlineLevel="1">
      <c r="A233" s="1" t="s">
        <v>375</v>
      </c>
      <c r="B233" s="1" t="s">
        <v>376</v>
      </c>
      <c r="D233" s="9">
        <f>+assessment!H233</f>
        <v>1.0777476760262441E-4</v>
      </c>
      <c r="F233" s="2">
        <f>+assessment!J233</f>
        <v>5639.8806649002008</v>
      </c>
      <c r="H233" s="22">
        <v>-4852.3534466485335</v>
      </c>
      <c r="J233" s="4">
        <f t="shared" si="16"/>
        <v>787.52721825166736</v>
      </c>
      <c r="K233" s="22">
        <v>-450</v>
      </c>
      <c r="L233" s="22">
        <f t="shared" si="17"/>
        <v>-5302.3534466485335</v>
      </c>
      <c r="M233" s="66">
        <v>2</v>
      </c>
      <c r="N233" s="67">
        <v>0</v>
      </c>
      <c r="O233" s="51">
        <v>225</v>
      </c>
      <c r="P233" s="51">
        <f t="shared" si="19"/>
        <v>0</v>
      </c>
      <c r="Q233" s="53">
        <f t="shared" si="18"/>
        <v>787.52721825166736</v>
      </c>
    </row>
    <row r="234" spans="1:17" outlineLevel="1">
      <c r="A234" s="11" t="s">
        <v>547</v>
      </c>
      <c r="B234" s="11" t="s">
        <v>548</v>
      </c>
      <c r="D234" s="9">
        <f>+assessment!H234</f>
        <v>2.4789677023474904E-6</v>
      </c>
      <c r="F234" s="2">
        <f>+assessment!J234</f>
        <v>129.72500265490004</v>
      </c>
      <c r="H234" s="22">
        <v>-111.6106964487544</v>
      </c>
      <c r="J234" s="4">
        <f t="shared" si="16"/>
        <v>18.114306206145642</v>
      </c>
      <c r="K234" s="22">
        <v>-225</v>
      </c>
      <c r="L234" s="22">
        <f t="shared" si="17"/>
        <v>-336.61069644875442</v>
      </c>
      <c r="M234" s="66">
        <v>1</v>
      </c>
      <c r="N234" s="67">
        <v>0</v>
      </c>
      <c r="O234" s="51">
        <v>225</v>
      </c>
      <c r="P234" s="51">
        <f t="shared" si="19"/>
        <v>0</v>
      </c>
      <c r="Q234" s="53">
        <f t="shared" si="18"/>
        <v>18.114306206145642</v>
      </c>
    </row>
    <row r="235" spans="1:17" outlineLevel="1">
      <c r="A235" s="1" t="s">
        <v>377</v>
      </c>
      <c r="B235" s="1" t="s">
        <v>378</v>
      </c>
      <c r="D235" s="9">
        <f>+assessment!H235</f>
        <v>1.0524701934616217E-5</v>
      </c>
      <c r="F235" s="2">
        <f>+assessment!J235</f>
        <v>550.76029635933367</v>
      </c>
      <c r="H235" s="22">
        <v>-473.85493545390796</v>
      </c>
      <c r="J235" s="4">
        <f t="shared" si="16"/>
        <v>76.905360905425709</v>
      </c>
      <c r="K235" s="22">
        <v>0</v>
      </c>
      <c r="L235" s="22">
        <f t="shared" si="17"/>
        <v>-473.85493545390796</v>
      </c>
      <c r="M235" s="66">
        <v>0</v>
      </c>
      <c r="N235" s="67">
        <v>0</v>
      </c>
      <c r="O235" s="51">
        <v>225</v>
      </c>
      <c r="P235" s="51">
        <f t="shared" si="19"/>
        <v>0</v>
      </c>
      <c r="Q235" s="53">
        <f t="shared" si="18"/>
        <v>76.905360905425709</v>
      </c>
    </row>
    <row r="236" spans="1:17" outlineLevel="1">
      <c r="A236" s="1" t="s">
        <v>379</v>
      </c>
      <c r="B236" s="1" t="s">
        <v>380</v>
      </c>
      <c r="D236" s="9">
        <f>+assessment!H236</f>
        <v>2.9804845729298762E-5</v>
      </c>
      <c r="F236" s="2">
        <f>+assessment!J236</f>
        <v>1559.6950648855968</v>
      </c>
      <c r="H236" s="22">
        <v>-1341.9080189862143</v>
      </c>
      <c r="J236" s="4">
        <f t="shared" si="16"/>
        <v>217.78704589938252</v>
      </c>
      <c r="K236" s="22">
        <v>0</v>
      </c>
      <c r="L236" s="22">
        <f t="shared" si="17"/>
        <v>-1341.9080189862143</v>
      </c>
      <c r="M236" s="66">
        <v>0</v>
      </c>
      <c r="N236" s="67">
        <v>0</v>
      </c>
      <c r="O236" s="51">
        <v>225</v>
      </c>
      <c r="P236" s="51">
        <f t="shared" si="19"/>
        <v>0</v>
      </c>
      <c r="Q236" s="53">
        <f t="shared" si="18"/>
        <v>217.78704589938252</v>
      </c>
    </row>
    <row r="237" spans="1:17" outlineLevel="1">
      <c r="A237" s="1" t="s">
        <v>381</v>
      </c>
      <c r="B237" s="1" t="s">
        <v>382</v>
      </c>
      <c r="D237" s="9">
        <f>+assessment!H237</f>
        <v>5.6873686450320403E-6</v>
      </c>
      <c r="F237" s="2">
        <f>+assessment!J237</f>
        <v>297.62143003215141</v>
      </c>
      <c r="H237" s="22">
        <v>-256.0631047438099</v>
      </c>
      <c r="J237" s="4">
        <f t="shared" si="16"/>
        <v>41.558325288341507</v>
      </c>
      <c r="K237" s="22">
        <v>0</v>
      </c>
      <c r="L237" s="22">
        <f t="shared" si="17"/>
        <v>-256.0631047438099</v>
      </c>
      <c r="M237" s="66">
        <v>0</v>
      </c>
      <c r="N237" s="67">
        <v>0</v>
      </c>
      <c r="O237" s="51">
        <v>225</v>
      </c>
      <c r="P237" s="51">
        <f t="shared" si="19"/>
        <v>0</v>
      </c>
      <c r="Q237" s="53">
        <f t="shared" si="18"/>
        <v>41.558325288341507</v>
      </c>
    </row>
    <row r="238" spans="1:17" outlineLevel="1">
      <c r="A238" s="1" t="s">
        <v>383</v>
      </c>
      <c r="B238" s="1" t="s">
        <v>384</v>
      </c>
      <c r="D238" s="9">
        <f>+assessment!H238</f>
        <v>1.5211894972857247E-4</v>
      </c>
      <c r="F238" s="2">
        <f>+assessment!J238</f>
        <v>7960.4228561399386</v>
      </c>
      <c r="H238" s="22">
        <v>-6848.8504126524531</v>
      </c>
      <c r="J238" s="4">
        <f t="shared" si="16"/>
        <v>1111.5724434874855</v>
      </c>
      <c r="K238" s="22">
        <v>0</v>
      </c>
      <c r="L238" s="22">
        <f t="shared" si="17"/>
        <v>-6848.8504126524531</v>
      </c>
      <c r="M238" s="66">
        <v>0</v>
      </c>
      <c r="N238" s="67">
        <v>1</v>
      </c>
      <c r="O238" s="51">
        <v>225</v>
      </c>
      <c r="P238" s="51">
        <f t="shared" si="19"/>
        <v>225</v>
      </c>
      <c r="Q238" s="53">
        <f t="shared" si="18"/>
        <v>1336.5724434874855</v>
      </c>
    </row>
    <row r="239" spans="1:17" outlineLevel="1">
      <c r="A239" s="1" t="s">
        <v>385</v>
      </c>
      <c r="B239" s="1" t="s">
        <v>386</v>
      </c>
      <c r="D239" s="9">
        <f>+assessment!H239</f>
        <v>1.1207201119324116E-5</v>
      </c>
      <c r="F239" s="2">
        <f>+assessment!J239</f>
        <v>586.47565015936823</v>
      </c>
      <c r="H239" s="22">
        <v>-504.57922099351299</v>
      </c>
      <c r="J239" s="4">
        <f t="shared" si="16"/>
        <v>81.896429165855238</v>
      </c>
      <c r="K239" s="22">
        <v>0</v>
      </c>
      <c r="L239" s="22">
        <f t="shared" si="17"/>
        <v>-504.57922099351299</v>
      </c>
      <c r="M239" s="66">
        <v>0</v>
      </c>
      <c r="N239" s="67">
        <v>0</v>
      </c>
      <c r="O239" s="51">
        <v>225</v>
      </c>
      <c r="P239" s="51">
        <f t="shared" si="19"/>
        <v>0</v>
      </c>
      <c r="Q239" s="53">
        <f t="shared" si="18"/>
        <v>81.896429165855238</v>
      </c>
    </row>
    <row r="240" spans="1:17" outlineLevel="1">
      <c r="A240" s="1" t="s">
        <v>387</v>
      </c>
      <c r="B240" s="1" t="s">
        <v>388</v>
      </c>
      <c r="D240" s="9">
        <f>+assessment!H240</f>
        <v>6.8889559276690034E-5</v>
      </c>
      <c r="F240" s="2">
        <f>+assessment!J240</f>
        <v>3605.007944073167</v>
      </c>
      <c r="H240" s="22">
        <v>-3101.587453718399</v>
      </c>
      <c r="J240" s="4">
        <f t="shared" si="16"/>
        <v>503.42049035476794</v>
      </c>
      <c r="K240" s="22">
        <v>0</v>
      </c>
      <c r="L240" s="22">
        <f t="shared" si="17"/>
        <v>-3101.587453718399</v>
      </c>
      <c r="M240" s="66">
        <v>0</v>
      </c>
      <c r="N240" s="67">
        <v>0</v>
      </c>
      <c r="O240" s="51">
        <v>225</v>
      </c>
      <c r="P240" s="51">
        <f t="shared" si="19"/>
        <v>0</v>
      </c>
      <c r="Q240" s="53">
        <f t="shared" si="18"/>
        <v>503.42049035476794</v>
      </c>
    </row>
    <row r="241" spans="1:17" outlineLevel="1">
      <c r="A241" s="1" t="s">
        <v>389</v>
      </c>
      <c r="B241" s="1" t="s">
        <v>390</v>
      </c>
      <c r="D241" s="9">
        <f>+assessment!H241</f>
        <v>5.1769539823098994E-5</v>
      </c>
      <c r="F241" s="2">
        <f>+assessment!J241</f>
        <v>2709.1130250042602</v>
      </c>
      <c r="H241" s="22">
        <v>-2330.8377165712081</v>
      </c>
      <c r="J241" s="4">
        <f t="shared" si="16"/>
        <v>378.27530843305203</v>
      </c>
      <c r="K241" s="22">
        <v>0</v>
      </c>
      <c r="L241" s="22">
        <f t="shared" si="17"/>
        <v>-2330.8377165712081</v>
      </c>
      <c r="M241" s="66">
        <v>0</v>
      </c>
      <c r="N241" s="67">
        <v>0</v>
      </c>
      <c r="O241" s="51">
        <v>225</v>
      </c>
      <c r="P241" s="51">
        <f t="shared" si="19"/>
        <v>0</v>
      </c>
      <c r="Q241" s="53">
        <f t="shared" si="18"/>
        <v>378.27530843305203</v>
      </c>
    </row>
    <row r="242" spans="1:17" outlineLevel="1">
      <c r="A242" s="1" t="s">
        <v>391</v>
      </c>
      <c r="B242" s="1" t="s">
        <v>392</v>
      </c>
      <c r="D242" s="9">
        <f>+assessment!H242</f>
        <v>5.9985339197001538E-4</v>
      </c>
      <c r="F242" s="2">
        <f>+assessment!J242</f>
        <v>31390.478702958571</v>
      </c>
      <c r="H242" s="22">
        <v>-27007.27719547732</v>
      </c>
      <c r="J242" s="4">
        <f t="shared" si="16"/>
        <v>4383.2015074812516</v>
      </c>
      <c r="K242" s="22">
        <v>-450</v>
      </c>
      <c r="L242" s="22">
        <f t="shared" si="17"/>
        <v>-27457.27719547732</v>
      </c>
      <c r="M242" s="66">
        <v>2</v>
      </c>
      <c r="N242" s="67">
        <v>0</v>
      </c>
      <c r="O242" s="51">
        <v>225</v>
      </c>
      <c r="P242" s="51">
        <f t="shared" si="19"/>
        <v>0</v>
      </c>
      <c r="Q242" s="53">
        <f t="shared" si="18"/>
        <v>4383.2015074812516</v>
      </c>
    </row>
    <row r="243" spans="1:17" outlineLevel="1">
      <c r="A243" s="1" t="s">
        <v>393</v>
      </c>
      <c r="B243" s="1" t="s">
        <v>394</v>
      </c>
      <c r="D243" s="9">
        <f>+assessment!H243</f>
        <v>1.5483598184764976E-4</v>
      </c>
      <c r="F243" s="2">
        <f>+assessment!J243</f>
        <v>8102.6058295312323</v>
      </c>
      <c r="H243" s="22">
        <v>-6971.2462571167671</v>
      </c>
      <c r="J243" s="4">
        <f t="shared" si="16"/>
        <v>1131.3595724144652</v>
      </c>
      <c r="K243" s="22">
        <v>0</v>
      </c>
      <c r="L243" s="22">
        <f t="shared" si="17"/>
        <v>-6971.2462571167671</v>
      </c>
      <c r="M243" s="66">
        <v>0</v>
      </c>
      <c r="N243" s="67">
        <v>0</v>
      </c>
      <c r="O243" s="51">
        <v>225</v>
      </c>
      <c r="P243" s="51">
        <f t="shared" si="19"/>
        <v>0</v>
      </c>
      <c r="Q243" s="53">
        <f t="shared" si="18"/>
        <v>1131.3595724144652</v>
      </c>
    </row>
    <row r="244" spans="1:17" outlineLevel="1">
      <c r="A244" s="1" t="s">
        <v>395</v>
      </c>
      <c r="B244" s="1" t="s">
        <v>396</v>
      </c>
      <c r="D244" s="9">
        <f>+assessment!H244</f>
        <v>8.1964365454651502E-5</v>
      </c>
      <c r="F244" s="2">
        <f>+assessment!J244</f>
        <v>4289.2158361494467</v>
      </c>
      <c r="H244" s="22">
        <v>-3690.2275053433559</v>
      </c>
      <c r="J244" s="4">
        <f t="shared" si="16"/>
        <v>598.98833080609074</v>
      </c>
      <c r="K244" s="22">
        <v>0</v>
      </c>
      <c r="L244" s="22">
        <f t="shared" si="17"/>
        <v>-3690.2275053433559</v>
      </c>
      <c r="M244" s="66">
        <v>0</v>
      </c>
      <c r="N244" s="67">
        <v>0</v>
      </c>
      <c r="O244" s="51">
        <v>225</v>
      </c>
      <c r="P244" s="51">
        <f t="shared" si="19"/>
        <v>0</v>
      </c>
      <c r="Q244" s="53">
        <f t="shared" si="18"/>
        <v>598.98833080609074</v>
      </c>
    </row>
    <row r="245" spans="1:17" outlineLevel="1">
      <c r="A245" s="1" t="s">
        <v>397</v>
      </c>
      <c r="B245" s="1" t="s">
        <v>398</v>
      </c>
      <c r="D245" s="9">
        <f>+assessment!H245</f>
        <v>4.2146516461888178E-4</v>
      </c>
      <c r="F245" s="2">
        <f>+assessment!J245</f>
        <v>22055.377949199392</v>
      </c>
      <c r="H245" s="22">
        <v>-18975.347206920407</v>
      </c>
      <c r="J245" s="4">
        <f t="shared" si="16"/>
        <v>3080.0307422789847</v>
      </c>
      <c r="K245" s="22">
        <v>-225</v>
      </c>
      <c r="L245" s="22">
        <f t="shared" si="17"/>
        <v>-19200.347206920407</v>
      </c>
      <c r="M245" s="66">
        <v>1</v>
      </c>
      <c r="N245" s="67">
        <v>0</v>
      </c>
      <c r="O245" s="51">
        <v>225</v>
      </c>
      <c r="P245" s="51">
        <f t="shared" si="19"/>
        <v>0</v>
      </c>
      <c r="Q245" s="53">
        <f t="shared" si="18"/>
        <v>3080.0307422789847</v>
      </c>
    </row>
    <row r="246" spans="1:17" outlineLevel="1">
      <c r="A246" s="1" t="s">
        <v>399</v>
      </c>
      <c r="B246" s="1" t="s">
        <v>400</v>
      </c>
      <c r="D246" s="9">
        <f>+assessment!H246</f>
        <v>2.4495845112884422E-4</v>
      </c>
      <c r="F246" s="2">
        <f>+assessment!J246</f>
        <v>12818.737288484097</v>
      </c>
      <c r="H246" s="22">
        <v>-11028.83035493852</v>
      </c>
      <c r="J246" s="4">
        <f t="shared" si="16"/>
        <v>1789.906933545577</v>
      </c>
      <c r="K246" s="22">
        <v>0</v>
      </c>
      <c r="L246" s="22">
        <f t="shared" si="17"/>
        <v>-11028.83035493852</v>
      </c>
      <c r="M246" s="66">
        <v>0</v>
      </c>
      <c r="N246" s="67">
        <v>0</v>
      </c>
      <c r="O246" s="51">
        <v>225</v>
      </c>
      <c r="P246" s="51">
        <f t="shared" si="19"/>
        <v>0</v>
      </c>
      <c r="Q246" s="53">
        <f t="shared" si="18"/>
        <v>1789.906933545577</v>
      </c>
    </row>
    <row r="247" spans="1:17" outlineLevel="1">
      <c r="A247" s="1" t="s">
        <v>401</v>
      </c>
      <c r="B247" s="1" t="s">
        <v>402</v>
      </c>
      <c r="D247" s="9">
        <f>+assessment!H247</f>
        <v>1.3320163988223811E-5</v>
      </c>
      <c r="F247" s="2">
        <f>+assessment!J247</f>
        <v>697.04752792855083</v>
      </c>
      <c r="H247" s="22">
        <v>-599.71557470420396</v>
      </c>
      <c r="J247" s="4">
        <f t="shared" si="16"/>
        <v>97.331953224346876</v>
      </c>
      <c r="K247" s="22">
        <v>0</v>
      </c>
      <c r="L247" s="22">
        <f t="shared" si="17"/>
        <v>-599.71557470420396</v>
      </c>
      <c r="M247" s="66">
        <v>0</v>
      </c>
      <c r="N247" s="67">
        <v>0</v>
      </c>
      <c r="O247" s="51">
        <v>225</v>
      </c>
      <c r="P247" s="51">
        <f t="shared" si="19"/>
        <v>0</v>
      </c>
      <c r="Q247" s="53">
        <f t="shared" si="18"/>
        <v>97.331953224346876</v>
      </c>
    </row>
    <row r="248" spans="1:17" outlineLevel="1">
      <c r="A248" s="1" t="s">
        <v>403</v>
      </c>
      <c r="B248" s="1" t="s">
        <v>404</v>
      </c>
      <c r="D248" s="9">
        <f>+assessment!H248</f>
        <v>6.566862461907388E-5</v>
      </c>
      <c r="F248" s="2">
        <f>+assessment!J248</f>
        <v>3436.4556242446993</v>
      </c>
      <c r="H248" s="22">
        <v>-2956.568318854826</v>
      </c>
      <c r="J248" s="4">
        <f t="shared" si="16"/>
        <v>479.88730538987329</v>
      </c>
      <c r="K248" s="22">
        <v>0</v>
      </c>
      <c r="L248" s="22">
        <f t="shared" si="17"/>
        <v>-2956.568318854826</v>
      </c>
      <c r="M248" s="66">
        <v>0</v>
      </c>
      <c r="N248" s="67">
        <v>0</v>
      </c>
      <c r="O248" s="51">
        <v>225</v>
      </c>
      <c r="P248" s="51">
        <f t="shared" si="19"/>
        <v>0</v>
      </c>
      <c r="Q248" s="53">
        <f t="shared" si="18"/>
        <v>479.88730538987329</v>
      </c>
    </row>
    <row r="249" spans="1:17" outlineLevel="1">
      <c r="A249" s="1" t="s">
        <v>405</v>
      </c>
      <c r="B249" s="1" t="s">
        <v>406</v>
      </c>
      <c r="D249" s="9">
        <f>+assessment!H249</f>
        <v>1.6793413945546087E-5</v>
      </c>
      <c r="F249" s="2">
        <f>+assessment!J249</f>
        <v>878.80357077981239</v>
      </c>
      <c r="H249" s="22">
        <v>-756.08723677233593</v>
      </c>
      <c r="J249" s="4">
        <f t="shared" si="16"/>
        <v>122.71633400747646</v>
      </c>
      <c r="K249" s="22">
        <v>0</v>
      </c>
      <c r="L249" s="22">
        <f t="shared" si="17"/>
        <v>-756.08723677233593</v>
      </c>
      <c r="M249" s="66">
        <v>0</v>
      </c>
      <c r="N249" s="67">
        <v>0</v>
      </c>
      <c r="O249" s="51">
        <v>225</v>
      </c>
      <c r="P249" s="51">
        <f t="shared" si="19"/>
        <v>0</v>
      </c>
      <c r="Q249" s="53">
        <f t="shared" si="18"/>
        <v>122.71633400747646</v>
      </c>
    </row>
    <row r="250" spans="1:17" outlineLevel="1">
      <c r="A250" s="1" t="s">
        <v>407</v>
      </c>
      <c r="B250" s="1" t="s">
        <v>408</v>
      </c>
      <c r="D250" s="9">
        <f>+assessment!H250</f>
        <v>1.4829797750668181E-5</v>
      </c>
      <c r="F250" s="2">
        <f>+assessment!J250</f>
        <v>776.0470419825549</v>
      </c>
      <c r="H250" s="22">
        <v>-667.67885857500471</v>
      </c>
      <c r="J250" s="4">
        <f t="shared" si="16"/>
        <v>108.36818340755019</v>
      </c>
      <c r="K250" s="22">
        <v>0</v>
      </c>
      <c r="L250" s="22">
        <f t="shared" si="17"/>
        <v>-667.67885857500471</v>
      </c>
      <c r="M250" s="66">
        <v>0</v>
      </c>
      <c r="N250" s="67">
        <v>0</v>
      </c>
      <c r="O250" s="51">
        <v>225</v>
      </c>
      <c r="P250" s="51">
        <f t="shared" si="19"/>
        <v>0</v>
      </c>
      <c r="Q250" s="53">
        <f t="shared" si="18"/>
        <v>108.36818340755019</v>
      </c>
    </row>
    <row r="251" spans="1:17" outlineLevel="1">
      <c r="A251" s="1" t="s">
        <v>409</v>
      </c>
      <c r="B251" s="1" t="s">
        <v>410</v>
      </c>
      <c r="D251" s="9">
        <f>+assessment!H251</f>
        <v>8.4639154420433066E-5</v>
      </c>
      <c r="F251" s="2">
        <f>+assessment!J251</f>
        <v>4429.1882147160277</v>
      </c>
      <c r="H251" s="22">
        <v>-3810.7459269410406</v>
      </c>
      <c r="J251" s="4">
        <f t="shared" si="16"/>
        <v>618.44228777498711</v>
      </c>
      <c r="K251" s="22">
        <v>0</v>
      </c>
      <c r="L251" s="22">
        <f t="shared" si="17"/>
        <v>-3810.7459269410406</v>
      </c>
      <c r="M251" s="66">
        <v>0</v>
      </c>
      <c r="N251" s="67">
        <v>0</v>
      </c>
      <c r="O251" s="51">
        <v>225</v>
      </c>
      <c r="P251" s="51">
        <f t="shared" si="19"/>
        <v>0</v>
      </c>
      <c r="Q251" s="53">
        <f t="shared" si="18"/>
        <v>618.44228777498711</v>
      </c>
    </row>
    <row r="252" spans="1:17" outlineLevel="1">
      <c r="A252" s="1" t="s">
        <v>411</v>
      </c>
      <c r="B252" s="1" t="s">
        <v>412</v>
      </c>
      <c r="D252" s="9">
        <f>+assessment!H252</f>
        <v>3.8863524853748892E-5</v>
      </c>
      <c r="F252" s="2">
        <f>+assessment!J252</f>
        <v>2033.7380192800288</v>
      </c>
      <c r="H252" s="22">
        <v>-1749.7761853462412</v>
      </c>
      <c r="J252" s="4">
        <f t="shared" si="16"/>
        <v>283.9618339337876</v>
      </c>
      <c r="K252" s="22">
        <v>0</v>
      </c>
      <c r="L252" s="22">
        <f t="shared" si="17"/>
        <v>-1749.7761853462412</v>
      </c>
      <c r="M252" s="66">
        <v>0</v>
      </c>
      <c r="N252" s="67">
        <v>0</v>
      </c>
      <c r="O252" s="51">
        <v>225</v>
      </c>
      <c r="P252" s="51">
        <f t="shared" si="19"/>
        <v>0</v>
      </c>
      <c r="Q252" s="53">
        <f t="shared" si="18"/>
        <v>283.9618339337876</v>
      </c>
    </row>
    <row r="253" spans="1:17" outlineLevel="1">
      <c r="A253" s="1" t="s">
        <v>413</v>
      </c>
      <c r="B253" s="1" t="s">
        <v>414</v>
      </c>
      <c r="D253" s="9">
        <f>+assessment!H253</f>
        <v>3.4384435099297145E-4</v>
      </c>
      <c r="F253" s="2">
        <f>+assessment!J253</f>
        <v>17993.461271478496</v>
      </c>
      <c r="H253" s="22">
        <v>-15480.405927272519</v>
      </c>
      <c r="J253" s="4">
        <f t="shared" si="16"/>
        <v>2513.0553442059772</v>
      </c>
      <c r="K253" s="22">
        <v>0</v>
      </c>
      <c r="L253" s="22">
        <f t="shared" si="17"/>
        <v>-15480.405927272519</v>
      </c>
      <c r="M253" s="66">
        <v>0</v>
      </c>
      <c r="N253" s="67">
        <v>0</v>
      </c>
      <c r="O253" s="51">
        <v>225</v>
      </c>
      <c r="P253" s="51">
        <f t="shared" si="19"/>
        <v>0</v>
      </c>
      <c r="Q253" s="53">
        <f t="shared" si="18"/>
        <v>2513.0553442059772</v>
      </c>
    </row>
    <row r="254" spans="1:17" outlineLevel="1">
      <c r="A254" s="1" t="s">
        <v>415</v>
      </c>
      <c r="B254" s="1" t="s">
        <v>416</v>
      </c>
      <c r="D254" s="9">
        <f>+assessment!H254</f>
        <v>2.3700712906436546E-6</v>
      </c>
      <c r="F254" s="2">
        <f>+assessment!J254</f>
        <v>124.02642607239281</v>
      </c>
      <c r="H254" s="22">
        <v>-106.70745057427844</v>
      </c>
      <c r="J254" s="4">
        <f t="shared" si="16"/>
        <v>17.318975498114369</v>
      </c>
      <c r="K254" s="22">
        <v>0</v>
      </c>
      <c r="L254" s="22">
        <f t="shared" si="17"/>
        <v>-106.70745057427844</v>
      </c>
      <c r="M254" s="66">
        <v>0</v>
      </c>
      <c r="N254" s="67">
        <v>0</v>
      </c>
      <c r="O254" s="51">
        <v>225</v>
      </c>
      <c r="P254" s="51">
        <f t="shared" si="19"/>
        <v>0</v>
      </c>
      <c r="Q254" s="53">
        <f t="shared" si="18"/>
        <v>17.318975498114369</v>
      </c>
    </row>
    <row r="255" spans="1:17" outlineLevel="1">
      <c r="A255" s="1" t="s">
        <v>417</v>
      </c>
      <c r="B255" s="1" t="s">
        <v>418</v>
      </c>
      <c r="D255" s="9">
        <f>+assessment!H255</f>
        <v>2.667346896167142E-5</v>
      </c>
      <c r="F255" s="2">
        <f>+assessment!J255</f>
        <v>1395.8293319398729</v>
      </c>
      <c r="H255" s="22">
        <v>-1200.9173556500677</v>
      </c>
      <c r="J255" s="4">
        <f t="shared" si="16"/>
        <v>194.91197628980512</v>
      </c>
      <c r="K255" s="22">
        <v>0</v>
      </c>
      <c r="L255" s="22">
        <f t="shared" si="17"/>
        <v>-1200.9173556500677</v>
      </c>
      <c r="M255" s="66">
        <v>0</v>
      </c>
      <c r="N255" s="67">
        <v>0</v>
      </c>
      <c r="O255" s="51">
        <v>225</v>
      </c>
      <c r="P255" s="51">
        <f t="shared" si="19"/>
        <v>0</v>
      </c>
      <c r="Q255" s="53">
        <f t="shared" si="18"/>
        <v>194.91197628980512</v>
      </c>
    </row>
    <row r="256" spans="1:17" outlineLevel="1">
      <c r="A256" s="1" t="s">
        <v>419</v>
      </c>
      <c r="B256" s="1" t="s">
        <v>420</v>
      </c>
      <c r="D256" s="9">
        <f>+assessment!H256</f>
        <v>5.7285240485512747E-6</v>
      </c>
      <c r="F256" s="2">
        <f>+assessment!J256</f>
        <v>299.77510263778493</v>
      </c>
      <c r="H256" s="22">
        <v>-257.91770240625499</v>
      </c>
      <c r="J256" s="4">
        <f t="shared" si="16"/>
        <v>41.857400231529937</v>
      </c>
      <c r="K256" s="22">
        <v>0</v>
      </c>
      <c r="L256" s="22">
        <f t="shared" si="17"/>
        <v>-257.91770240625499</v>
      </c>
      <c r="M256" s="66">
        <v>0</v>
      </c>
      <c r="N256" s="67">
        <v>0</v>
      </c>
      <c r="O256" s="51">
        <v>225</v>
      </c>
      <c r="P256" s="51">
        <f t="shared" si="19"/>
        <v>0</v>
      </c>
      <c r="Q256" s="53">
        <f t="shared" si="18"/>
        <v>41.857400231529937</v>
      </c>
    </row>
    <row r="257" spans="1:17" outlineLevel="1">
      <c r="A257" s="1" t="s">
        <v>421</v>
      </c>
      <c r="B257" s="1" t="s">
        <v>422</v>
      </c>
      <c r="D257" s="9">
        <f>+assessment!H257</f>
        <v>1.4815220515994115E-4</v>
      </c>
      <c r="F257" s="2">
        <f>+assessment!J257</f>
        <v>7752.8421162982231</v>
      </c>
      <c r="H257" s="22">
        <v>-6670.3558030695331</v>
      </c>
      <c r="J257" s="4">
        <f t="shared" si="16"/>
        <v>1082.4863132286901</v>
      </c>
      <c r="K257" s="22">
        <v>0</v>
      </c>
      <c r="L257" s="22">
        <f t="shared" si="17"/>
        <v>-6670.3558030695331</v>
      </c>
      <c r="M257" s="66">
        <v>0</v>
      </c>
      <c r="N257" s="67">
        <v>0</v>
      </c>
      <c r="O257" s="51">
        <v>225</v>
      </c>
      <c r="P257" s="51">
        <f t="shared" si="19"/>
        <v>0</v>
      </c>
      <c r="Q257" s="53">
        <f t="shared" si="18"/>
        <v>1082.4863132286901</v>
      </c>
    </row>
    <row r="258" spans="1:17" outlineLevel="1">
      <c r="A258" s="1" t="s">
        <v>423</v>
      </c>
      <c r="B258" s="1" t="s">
        <v>424</v>
      </c>
      <c r="D258" s="9">
        <f>+assessment!H258</f>
        <v>3.4388116240865878E-6</v>
      </c>
      <c r="F258" s="2">
        <f>+assessment!J258</f>
        <v>179.95387622109547</v>
      </c>
      <c r="H258" s="22">
        <v>-154.82177049059774</v>
      </c>
      <c r="J258" s="4">
        <f t="shared" si="16"/>
        <v>25.132105730497727</v>
      </c>
      <c r="K258" s="22">
        <v>0</v>
      </c>
      <c r="L258" s="22">
        <f t="shared" si="17"/>
        <v>-154.82177049059774</v>
      </c>
      <c r="M258" s="66">
        <v>0</v>
      </c>
      <c r="N258" s="67">
        <v>0</v>
      </c>
      <c r="O258" s="51">
        <v>225</v>
      </c>
      <c r="P258" s="51">
        <f t="shared" si="19"/>
        <v>0</v>
      </c>
      <c r="Q258" s="53">
        <f t="shared" si="18"/>
        <v>25.132105730497727</v>
      </c>
    </row>
    <row r="259" spans="1:17" outlineLevel="1">
      <c r="A259" s="1" t="s">
        <v>549</v>
      </c>
      <c r="B259" s="1" t="s">
        <v>550</v>
      </c>
      <c r="D259" s="9">
        <f>+assessment!H259</f>
        <v>2.4205688830382273E-5</v>
      </c>
      <c r="F259" s="2">
        <f>+assessment!J259</f>
        <v>1266.6897776891094</v>
      </c>
      <c r="H259" s="22">
        <v>-1089.8269615656643</v>
      </c>
      <c r="J259" s="4">
        <f t="shared" si="16"/>
        <v>176.8628161234451</v>
      </c>
      <c r="K259" s="22">
        <v>-225</v>
      </c>
      <c r="L259" s="22">
        <f t="shared" si="17"/>
        <v>-1314.8269615656643</v>
      </c>
      <c r="M259" s="66">
        <v>1</v>
      </c>
      <c r="N259" s="67">
        <v>0</v>
      </c>
      <c r="O259" s="51">
        <v>225</v>
      </c>
      <c r="P259" s="51">
        <f t="shared" si="19"/>
        <v>0</v>
      </c>
      <c r="Q259" s="53">
        <f t="shared" si="18"/>
        <v>176.8628161234451</v>
      </c>
    </row>
    <row r="260" spans="1:17" outlineLevel="1">
      <c r="A260" s="1" t="s">
        <v>425</v>
      </c>
      <c r="B260" s="1" t="s">
        <v>426</v>
      </c>
      <c r="D260" s="9">
        <f>+assessment!H260</f>
        <v>9.5713278460965979E-6</v>
      </c>
      <c r="F260" s="2">
        <f>+assessment!J260</f>
        <v>500.86999079092976</v>
      </c>
      <c r="H260" s="22">
        <v>-430.92915373942253</v>
      </c>
      <c r="J260" s="4">
        <f t="shared" si="16"/>
        <v>69.940837051507231</v>
      </c>
      <c r="K260" s="22">
        <v>0</v>
      </c>
      <c r="L260" s="22">
        <f t="shared" si="17"/>
        <v>-430.92915373942253</v>
      </c>
      <c r="M260" s="66">
        <v>0</v>
      </c>
      <c r="N260" s="67">
        <v>0</v>
      </c>
      <c r="O260" s="51">
        <v>225</v>
      </c>
      <c r="P260" s="51">
        <f t="shared" si="19"/>
        <v>0</v>
      </c>
      <c r="Q260" s="53">
        <f t="shared" si="18"/>
        <v>69.940837051507231</v>
      </c>
    </row>
    <row r="261" spans="1:17" outlineLevel="1">
      <c r="A261" s="1" t="s">
        <v>427</v>
      </c>
      <c r="B261" s="1" t="s">
        <v>428</v>
      </c>
      <c r="D261" s="9">
        <f>+assessment!H261</f>
        <v>8.5616123817715431E-6</v>
      </c>
      <c r="F261" s="2">
        <f>+assessment!J261</f>
        <v>448.03132687198354</v>
      </c>
      <c r="H261" s="22">
        <v>-385.46951734588936</v>
      </c>
      <c r="J261" s="4">
        <f t="shared" si="16"/>
        <v>62.56180952609418</v>
      </c>
      <c r="K261" s="22">
        <v>0</v>
      </c>
      <c r="L261" s="22">
        <f t="shared" si="17"/>
        <v>-385.46951734588936</v>
      </c>
      <c r="M261" s="66">
        <v>0</v>
      </c>
      <c r="N261" s="67">
        <v>0</v>
      </c>
      <c r="O261" s="51">
        <v>225</v>
      </c>
      <c r="P261" s="51">
        <f t="shared" si="19"/>
        <v>0</v>
      </c>
      <c r="Q261" s="53">
        <f t="shared" si="18"/>
        <v>62.56180952609418</v>
      </c>
    </row>
    <row r="262" spans="1:17">
      <c r="B262" s="1" t="s">
        <v>472</v>
      </c>
      <c r="D262" s="9">
        <f>SUBTOTAL(9,D140:D261)</f>
        <v>1.2438585776400854E-2</v>
      </c>
      <c r="F262" s="2">
        <f>SUBTOTAL(9,F140:F261)</f>
        <v>650914.31862496131</v>
      </c>
      <c r="H262" s="2">
        <f>SUBTOTAL(9,H140:H261)</f>
        <v>-560015.54391958308</v>
      </c>
      <c r="J262" s="4">
        <f>SUBTOTAL(9,J140:J261)</f>
        <v>90898.774705378528</v>
      </c>
      <c r="K262" s="4">
        <f>SUBTOTAL(9,K140:K261)</f>
        <v>-5850</v>
      </c>
      <c r="L262" s="4">
        <f>SUBTOTAL(9,L140:L261)</f>
        <v>-565865.54391958308</v>
      </c>
      <c r="M262" s="69">
        <f>SUBTOTAL(9,M140:M261)</f>
        <v>26</v>
      </c>
      <c r="N262" s="67">
        <f>SUBTOTAL(9,N140:N261)</f>
        <v>1</v>
      </c>
      <c r="O262" s="51">
        <v>225</v>
      </c>
      <c r="P262" s="52">
        <f>SUBTOTAL(9,P140:P261)</f>
        <v>225</v>
      </c>
      <c r="Q262" s="54">
        <f>SUBTOTAL(9,Q140:Q261)</f>
        <v>91123.774705378528</v>
      </c>
    </row>
    <row r="263" spans="1:17">
      <c r="D263" s="23"/>
      <c r="F263" s="24"/>
      <c r="H263" s="24"/>
      <c r="J263" s="24"/>
      <c r="K263" s="23"/>
      <c r="L263" s="23"/>
      <c r="M263" s="50"/>
      <c r="N263" s="50"/>
      <c r="P263" s="50"/>
      <c r="Q263" s="55"/>
    </row>
    <row r="264" spans="1:17">
      <c r="D264" s="25">
        <f>SUBTOTAL(9,D4:D263)</f>
        <v>1.0000000000000007</v>
      </c>
      <c r="F264" s="2">
        <f>SUBTOTAL(9,F4:F263)</f>
        <v>52330251.230000004</v>
      </c>
      <c r="H264" s="2">
        <f>SUBTOTAL(9,H4:H263)</f>
        <v>-45020543.999999963</v>
      </c>
      <c r="J264" s="2">
        <f>SUBTOTAL(9,J4:J263)</f>
        <v>7309707.230000006</v>
      </c>
      <c r="K264" s="2">
        <f>SUBTOTAL(9,K4:K263)</f>
        <v>-43875</v>
      </c>
      <c r="L264" s="2">
        <f>SUBTOTAL(9,L4:L263)</f>
        <v>-45064418.999999963</v>
      </c>
      <c r="M264" s="51">
        <f>SUBTOTAL(9,M4:M263)</f>
        <v>195</v>
      </c>
      <c r="N264" s="51">
        <f>SUBTOTAL(9,N4:N263)</f>
        <v>7</v>
      </c>
      <c r="O264" s="51"/>
      <c r="P264" s="51">
        <f t="shared" ref="P264:Q264" si="20">SUBTOTAL(9,P4:P263)</f>
        <v>1575</v>
      </c>
      <c r="Q264" s="53">
        <f t="shared" si="20"/>
        <v>7311282.230000006</v>
      </c>
    </row>
    <row r="265" spans="1:17">
      <c r="F265" s="2"/>
    </row>
    <row r="266" spans="1:17">
      <c r="F266" s="2"/>
    </row>
    <row r="267" spans="1:17">
      <c r="D267" s="70" t="s">
        <v>591</v>
      </c>
      <c r="F267" s="2">
        <f>assessment!J267</f>
        <v>43000000</v>
      </c>
      <c r="H267" s="2">
        <f>+$H$264*(F267/$F$272)</f>
        <v>-36993581.083558619</v>
      </c>
      <c r="J267" s="2">
        <f>SUM(F267:H267)</f>
        <v>6006418.916441381</v>
      </c>
    </row>
    <row r="268" spans="1:17">
      <c r="D268" s="16" t="s">
        <v>494</v>
      </c>
      <c r="F268" s="2">
        <f>assessment!J268</f>
        <v>-2966696.8</v>
      </c>
      <c r="H268" s="2">
        <f>+$H$264*(F268/$F$272)</f>
        <v>2552296.2470031139</v>
      </c>
      <c r="J268" s="2">
        <f>SUM(F268:H268)</f>
        <v>-414400.55299688596</v>
      </c>
    </row>
    <row r="269" spans="1:17">
      <c r="D269" s="70" t="s">
        <v>544</v>
      </c>
      <c r="F269" s="2">
        <f>assessment!J269</f>
        <v>15757392</v>
      </c>
      <c r="H269" s="2">
        <f>+$H$264*(F269/$F$272)</f>
        <v>-13556333.9213353</v>
      </c>
      <c r="J269" s="2">
        <f>SUM(F269:H269)</f>
        <v>2201058.0786646996</v>
      </c>
    </row>
    <row r="270" spans="1:17">
      <c r="D270" s="16" t="s">
        <v>494</v>
      </c>
      <c r="F270" s="2">
        <f>assessment!J270</f>
        <v>-3460443.97</v>
      </c>
      <c r="H270" s="2">
        <f>+$H$264*(F270/$F$272)</f>
        <v>2977074.7578908489</v>
      </c>
      <c r="J270" s="2">
        <f>SUM(F270:H270)</f>
        <v>-483369.2121091513</v>
      </c>
    </row>
    <row r="271" spans="1:17">
      <c r="F271" s="2"/>
      <c r="H271" s="2"/>
    </row>
    <row r="272" spans="1:17" ht="13.5" thickBot="1">
      <c r="F272" s="15">
        <f>SUM(F267:F271)</f>
        <v>52330251.230000004</v>
      </c>
      <c r="H272" s="15">
        <f>SUM(H267:H271)</f>
        <v>-45020543.999999955</v>
      </c>
      <c r="J272" s="15">
        <f>SUM(J267:J271)</f>
        <v>7309707.2300000433</v>
      </c>
    </row>
    <row r="273" spans="6:8" ht="13.5" thickTop="1"/>
    <row r="275" spans="6:8">
      <c r="F275" s="2"/>
    </row>
    <row r="276" spans="6:8">
      <c r="F276" s="2"/>
      <c r="H276" s="18"/>
    </row>
    <row r="277" spans="6:8">
      <c r="F277" s="2"/>
      <c r="H277" s="18"/>
    </row>
    <row r="278" spans="6:8">
      <c r="F278" s="2"/>
    </row>
    <row r="279" spans="6:8">
      <c r="F279" s="2"/>
    </row>
    <row r="281" spans="6:8">
      <c r="F281" s="2"/>
    </row>
  </sheetData>
  <sortState xmlns:xlrd2="http://schemas.microsoft.com/office/spreadsheetml/2017/richdata2" ref="A140:R261">
    <sortCondition ref="A140:A261"/>
  </sortState>
  <phoneticPr fontId="5" type="noConversion"/>
  <printOptions horizontalCentered="1"/>
  <pageMargins left="0.25" right="0.25" top="0.95" bottom="0.5" header="0.5" footer="0.25"/>
  <pageSetup scale="70" orientation="landscape" r:id="rId1"/>
  <headerFooter alignWithMargins="0">
    <oddHeader>&amp;C&amp;"Arial,Bold"&amp;14State Office of Risk Management
FY 2026  Assessment Amounts</oddHeader>
    <oddFooter>&amp;L &amp;D&amp;CPage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Y284"/>
  <sheetViews>
    <sheetView view="pageBreakPreview" zoomScaleNormal="100" zoomScaleSheetLayoutView="100" workbookViewId="0">
      <selection activeCell="V22" sqref="V22"/>
    </sheetView>
  </sheetViews>
  <sheetFormatPr defaultColWidth="9.140625" defaultRowHeight="12.75" outlineLevelRow="1"/>
  <cols>
    <col min="1" max="1" width="6" style="1" customWidth="1"/>
    <col min="2" max="2" width="33.5703125" style="1" customWidth="1"/>
    <col min="3" max="5" width="9.7109375" style="1" bestFit="1" customWidth="1"/>
    <col min="6" max="6" width="9.85546875" style="1" bestFit="1" customWidth="1"/>
    <col min="7" max="7" width="2.42578125" style="1" customWidth="1"/>
    <col min="8" max="8" width="10.42578125" style="1" customWidth="1"/>
    <col min="9" max="9" width="2.28515625" style="1" customWidth="1"/>
    <col min="10" max="10" width="14.5703125" style="1" customWidth="1"/>
    <col min="11" max="11" width="1.5703125" style="1" customWidth="1"/>
    <col min="12" max="12" width="7.42578125" style="1" customWidth="1"/>
    <col min="13" max="13" width="1.5703125" style="1" customWidth="1"/>
    <col min="14" max="14" width="5.28515625" style="1" customWidth="1"/>
    <col min="15" max="15" width="14.28515625" style="11" customWidth="1"/>
    <col min="16" max="16" width="14.7109375" style="17" bestFit="1" customWidth="1"/>
    <col min="17" max="17" width="1.5703125" style="1" customWidth="1"/>
    <col min="18" max="18" width="12.7109375" style="11" customWidth="1"/>
    <col min="19" max="19" width="10.140625" style="1" customWidth="1"/>
    <col min="20" max="20" width="1.5703125" style="1" customWidth="1"/>
    <col min="21" max="21" width="7.5703125" style="1" bestFit="1" customWidth="1"/>
    <col min="22" max="22" width="5.28515625" style="1" customWidth="1"/>
    <col min="23" max="23" width="12" style="1" customWidth="1"/>
    <col min="24" max="24" width="17.28515625" style="1" customWidth="1"/>
    <col min="25" max="16384" width="9.140625" style="1"/>
  </cols>
  <sheetData>
    <row r="1" spans="1:24">
      <c r="F1" s="12" t="s">
        <v>445</v>
      </c>
      <c r="H1" s="12" t="s">
        <v>0</v>
      </c>
      <c r="J1" s="12"/>
      <c r="O1" s="12" t="s">
        <v>554</v>
      </c>
      <c r="R1" s="12" t="s">
        <v>554</v>
      </c>
    </row>
    <row r="2" spans="1:24">
      <c r="A2" s="19" t="s">
        <v>449</v>
      </c>
      <c r="B2" s="12"/>
      <c r="C2" s="12" t="s">
        <v>495</v>
      </c>
      <c r="D2" s="12" t="s">
        <v>458</v>
      </c>
      <c r="E2" s="12" t="s">
        <v>457</v>
      </c>
      <c r="F2" s="12" t="s">
        <v>446</v>
      </c>
      <c r="H2" s="12" t="s">
        <v>3</v>
      </c>
      <c r="J2" s="12" t="s">
        <v>3</v>
      </c>
      <c r="L2" s="12" t="s">
        <v>4</v>
      </c>
      <c r="O2" s="12" t="s">
        <v>592</v>
      </c>
      <c r="R2" s="12" t="s">
        <v>592</v>
      </c>
    </row>
    <row r="3" spans="1:24">
      <c r="A3" s="13" t="s">
        <v>447</v>
      </c>
      <c r="B3" s="13" t="s">
        <v>448</v>
      </c>
      <c r="C3" s="13">
        <v>0.125</v>
      </c>
      <c r="D3" s="13">
        <v>0.125</v>
      </c>
      <c r="E3" s="13">
        <v>0.15</v>
      </c>
      <c r="F3" s="13">
        <v>0.6</v>
      </c>
      <c r="G3" s="13"/>
      <c r="H3" s="13" t="s">
        <v>5</v>
      </c>
      <c r="I3" s="13"/>
      <c r="J3" s="13" t="s">
        <v>6</v>
      </c>
      <c r="K3" s="13"/>
      <c r="L3" s="13" t="s">
        <v>1</v>
      </c>
      <c r="M3" s="13"/>
      <c r="N3" s="13"/>
      <c r="O3" s="13" t="s">
        <v>3</v>
      </c>
      <c r="P3" s="26" t="s">
        <v>455</v>
      </c>
      <c r="Q3" s="13"/>
      <c r="R3" s="13" t="s">
        <v>5</v>
      </c>
      <c r="S3" s="13" t="s">
        <v>455</v>
      </c>
      <c r="T3" s="13"/>
      <c r="U3" s="13"/>
      <c r="W3" s="13"/>
    </row>
    <row r="4" spans="1:24" ht="6.75" customHeight="1">
      <c r="C4" s="9"/>
      <c r="D4" s="9"/>
      <c r="E4" s="9"/>
      <c r="F4" s="9"/>
      <c r="H4" s="21"/>
      <c r="J4" s="10"/>
      <c r="O4" s="27"/>
      <c r="R4" s="27"/>
    </row>
    <row r="5" spans="1:24">
      <c r="A5" s="1" t="s">
        <v>7</v>
      </c>
      <c r="B5" s="1" t="s">
        <v>500</v>
      </c>
      <c r="C5" s="9">
        <f>+payroll!G5</f>
        <v>3.0468312633243188E-3</v>
      </c>
      <c r="D5" s="9">
        <f>+IFR!T5</f>
        <v>2.7010774687655816E-3</v>
      </c>
      <c r="E5" s="9">
        <f>+claims!R5</f>
        <v>0</v>
      </c>
      <c r="F5" s="9">
        <f>+costs!L5</f>
        <v>0</v>
      </c>
      <c r="H5" s="28">
        <f>(C5*$C$3)+(D5*$D$3)+(E5*$E$3)+(F5*$F$3)</f>
        <v>7.1848859151123754E-4</v>
      </c>
      <c r="J5" s="2">
        <f>(+H5*$J$272)</f>
        <v>37598.688499671909</v>
      </c>
      <c r="L5" s="7">
        <f>+J5/payroll!F5</f>
        <v>1.0211881396243608E-3</v>
      </c>
      <c r="O5" s="2">
        <v>43131.937385268655</v>
      </c>
      <c r="P5" s="17">
        <f>+J5-O5</f>
        <v>-5533.2488855967458</v>
      </c>
      <c r="R5" s="28">
        <v>7.1853758672821657E-4</v>
      </c>
      <c r="S5" s="9">
        <f>+H5-R5</f>
        <v>-4.8995216979028089E-8</v>
      </c>
      <c r="U5" s="25"/>
      <c r="X5" s="2"/>
    </row>
    <row r="6" spans="1:24">
      <c r="A6" s="1" t="s">
        <v>8</v>
      </c>
      <c r="B6" s="1" t="s">
        <v>501</v>
      </c>
      <c r="C6" s="9">
        <f>+payroll!G6</f>
        <v>3.3044858625855423E-3</v>
      </c>
      <c r="D6" s="9">
        <f>+IFR!T6</f>
        <v>3.9696113838298694E-3</v>
      </c>
      <c r="E6" s="9">
        <f>+claims!R6</f>
        <v>1.7176124584156996E-4</v>
      </c>
      <c r="F6" s="9">
        <f>+costs!L6</f>
        <v>3.1655142848778405E-6</v>
      </c>
      <c r="H6" s="28">
        <f>(C6*$C$3)+(D6*$D$3)+(E6*$E$3)+(F6*$F$3)</f>
        <v>9.3692565124908864E-4</v>
      </c>
      <c r="J6" s="2">
        <f t="shared" ref="J6:J36" si="0">(+H6*$J$272)</f>
        <v>49029.554713696176</v>
      </c>
      <c r="L6" s="7">
        <f>+J6/payroll!F6</f>
        <v>1.2278223083581946E-3</v>
      </c>
      <c r="O6" s="2">
        <v>56244.508640810389</v>
      </c>
      <c r="P6" s="17">
        <f t="shared" ref="P6:P68" si="1">+J6-O6</f>
        <v>-7214.953927114213</v>
      </c>
      <c r="R6" s="28">
        <v>9.3698071441801749E-4</v>
      </c>
      <c r="S6" s="9">
        <f t="shared" ref="S6:S68" si="2">+H6-R6</f>
        <v>-5.5063168928853705E-8</v>
      </c>
      <c r="U6" s="25"/>
      <c r="X6" s="2"/>
    </row>
    <row r="7" spans="1:24">
      <c r="A7" s="1" t="s">
        <v>9</v>
      </c>
      <c r="B7" s="1" t="s">
        <v>10</v>
      </c>
      <c r="C7" s="9">
        <f>+payroll!G7</f>
        <v>2.6369337462310355E-3</v>
      </c>
      <c r="D7" s="9">
        <f>+IFR!T7</f>
        <v>2.0773407146373241E-3</v>
      </c>
      <c r="E7" s="9">
        <f>+claims!R7</f>
        <v>0</v>
      </c>
      <c r="F7" s="9">
        <f>+costs!L7</f>
        <v>0</v>
      </c>
      <c r="H7" s="28">
        <f>(C7*$C$3)+(D7*$D$3)+(E7*$E$3)+(F7*$F$3)</f>
        <v>5.89284307608545E-4</v>
      </c>
      <c r="J7" s="2">
        <f t="shared" si="0"/>
        <v>30837.395863051763</v>
      </c>
      <c r="L7" s="7">
        <f>+J7/payroll!F7</f>
        <v>9.6774279535856509E-4</v>
      </c>
      <c r="O7" s="2">
        <v>35375.763267765491</v>
      </c>
      <c r="P7" s="17">
        <f t="shared" si="1"/>
        <v>-4538.3674047137283</v>
      </c>
      <c r="R7" s="28">
        <v>5.8932700703981096E-4</v>
      </c>
      <c r="S7" s="9">
        <f t="shared" si="2"/>
        <v>-4.2699431265953713E-8</v>
      </c>
      <c r="U7" s="25"/>
      <c r="X7" s="2"/>
    </row>
    <row r="8" spans="1:24">
      <c r="A8" s="1" t="s">
        <v>11</v>
      </c>
      <c r="B8" s="1" t="s">
        <v>12</v>
      </c>
      <c r="C8" s="9">
        <f>+payroll!G8</f>
        <v>1.1759811403465612E-3</v>
      </c>
      <c r="D8" s="9">
        <f>+IFR!T8</f>
        <v>6.9673698774735829E-4</v>
      </c>
      <c r="E8" s="9">
        <f>+claims!R8</f>
        <v>0</v>
      </c>
      <c r="F8" s="9">
        <f>+costs!L8</f>
        <v>0</v>
      </c>
      <c r="H8" s="28">
        <f t="shared" ref="H8:H69" si="3">(C8*$C$3)+(D8*$D$3)+(E8*$E$3)+(F8*$F$3)</f>
        <v>2.3408976601173992E-4</v>
      </c>
      <c r="J8" s="2">
        <f t="shared" si="0"/>
        <v>12249.976265766267</v>
      </c>
      <c r="L8" s="7">
        <f>+J8/payroll!F8</f>
        <v>8.6201804942907345E-4</v>
      </c>
      <c r="O8" s="2">
        <v>14052.956874214815</v>
      </c>
      <c r="P8" s="17">
        <f t="shared" si="1"/>
        <v>-1802.9806084485481</v>
      </c>
      <c r="R8" s="28">
        <v>2.3410906930980467E-4</v>
      </c>
      <c r="S8" s="9">
        <f t="shared" si="2"/>
        <v>-1.9303298064751295E-8</v>
      </c>
      <c r="U8" s="25"/>
      <c r="X8" s="2"/>
    </row>
    <row r="9" spans="1:24">
      <c r="A9" s="1" t="s">
        <v>13</v>
      </c>
      <c r="B9" s="1" t="s">
        <v>14</v>
      </c>
      <c r="C9" s="9">
        <f>+payroll!G9</f>
        <v>1.1811767301327007E-4</v>
      </c>
      <c r="D9" s="9">
        <f>+IFR!T9</f>
        <v>1.2624773274855819E-4</v>
      </c>
      <c r="E9" s="9">
        <f>+claims!R9</f>
        <v>0</v>
      </c>
      <c r="F9" s="9">
        <f>+costs!L9</f>
        <v>0</v>
      </c>
      <c r="H9" s="28">
        <f t="shared" si="3"/>
        <v>3.054567572022853E-5</v>
      </c>
      <c r="J9" s="2">
        <f t="shared" si="0"/>
        <v>1598.4628844296703</v>
      </c>
      <c r="L9" s="7">
        <f>+J9/payroll!F9</f>
        <v>1.1198739518070984E-3</v>
      </c>
      <c r="O9" s="2">
        <v>1833.6897994586247</v>
      </c>
      <c r="P9" s="17">
        <f t="shared" si="1"/>
        <v>-235.22691502895441</v>
      </c>
      <c r="R9" s="28">
        <v>3.0547550682505493E-5</v>
      </c>
      <c r="S9" s="9">
        <f t="shared" si="2"/>
        <v>-1.8749622769632067E-9</v>
      </c>
      <c r="U9" s="25"/>
      <c r="X9" s="2"/>
    </row>
    <row r="10" spans="1:24">
      <c r="A10" s="1" t="s">
        <v>15</v>
      </c>
      <c r="B10" s="1" t="s">
        <v>16</v>
      </c>
      <c r="C10" s="9">
        <f>+payroll!G10</f>
        <v>2.0096392493191791E-4</v>
      </c>
      <c r="D10" s="9">
        <f>+IFR!T10</f>
        <v>1.5396120924506161E-4</v>
      </c>
      <c r="E10" s="9">
        <f>+claims!R10</f>
        <v>0</v>
      </c>
      <c r="F10" s="9">
        <f>+costs!L10</f>
        <v>0</v>
      </c>
      <c r="H10" s="28">
        <f t="shared" si="3"/>
        <v>4.4365641772122437E-5</v>
      </c>
      <c r="J10" s="2">
        <f t="shared" si="0"/>
        <v>2321.6651799153497</v>
      </c>
      <c r="L10" s="7">
        <f>+J10/payroll!F10</f>
        <v>9.5601113966114256E-4</v>
      </c>
      <c r="O10" s="2">
        <v>2663.349406556029</v>
      </c>
      <c r="P10" s="17">
        <f t="shared" si="1"/>
        <v>-341.6842266406793</v>
      </c>
      <c r="R10" s="28">
        <v>4.4368900893712474E-5</v>
      </c>
      <c r="S10" s="9">
        <f t="shared" si="2"/>
        <v>-3.2591215900362475E-9</v>
      </c>
      <c r="U10" s="25"/>
      <c r="X10" s="2"/>
    </row>
    <row r="11" spans="1:24">
      <c r="A11" s="1" t="s">
        <v>17</v>
      </c>
      <c r="B11" s="1" t="s">
        <v>18</v>
      </c>
      <c r="C11" s="9">
        <f>+payroll!G11</f>
        <v>6.2476657745794552E-4</v>
      </c>
      <c r="D11" s="9">
        <f>+IFR!T11</f>
        <v>4.4726981603959487E-4</v>
      </c>
      <c r="E11" s="9">
        <f>+claims!R11</f>
        <v>5.7253748613856657E-5</v>
      </c>
      <c r="F11" s="9">
        <f>+costs!L11</f>
        <v>5.9557071674568691E-6</v>
      </c>
      <c r="H11" s="28">
        <f t="shared" si="3"/>
        <v>1.4616603577974514E-4</v>
      </c>
      <c r="J11" s="2">
        <f t="shared" si="0"/>
        <v>7648.9053736472333</v>
      </c>
      <c r="L11" s="7">
        <f>+J11/payroll!F11</f>
        <v>1.0131248520385057E-3</v>
      </c>
      <c r="O11" s="2">
        <v>8774.6384151955954</v>
      </c>
      <c r="P11" s="17">
        <f t="shared" si="1"/>
        <v>-1125.7330415483621</v>
      </c>
      <c r="R11" s="28">
        <v>1.4617723880450438E-4</v>
      </c>
      <c r="S11" s="9">
        <f t="shared" si="2"/>
        <v>-1.1203024759232853E-8</v>
      </c>
      <c r="U11" s="25"/>
      <c r="X11" s="2"/>
    </row>
    <row r="12" spans="1:24">
      <c r="A12" s="1" t="s">
        <v>19</v>
      </c>
      <c r="B12" s="1" t="s">
        <v>20</v>
      </c>
      <c r="C12" s="9">
        <f>+payroll!G12</f>
        <v>1.5795304417808034E-4</v>
      </c>
      <c r="D12" s="9">
        <f>+IFR!T12</f>
        <v>1.2893190224366657E-4</v>
      </c>
      <c r="E12" s="9">
        <f>+claims!R12</f>
        <v>0</v>
      </c>
      <c r="F12" s="9">
        <f>+costs!L12</f>
        <v>0</v>
      </c>
      <c r="H12" s="28">
        <f t="shared" si="3"/>
        <v>3.5860618302718363E-5</v>
      </c>
      <c r="J12" s="2">
        <f t="shared" si="0"/>
        <v>1876.5951650443883</v>
      </c>
      <c r="L12" s="7">
        <f>+J12/payroll!F12</f>
        <v>9.8315968493626759E-4</v>
      </c>
      <c r="O12" s="2">
        <v>2152.7726180701761</v>
      </c>
      <c r="P12" s="17">
        <f t="shared" si="1"/>
        <v>-276.17745302578783</v>
      </c>
      <c r="R12" s="28">
        <v>3.5863170901547348E-5</v>
      </c>
      <c r="S12" s="9">
        <f t="shared" si="2"/>
        <v>-2.55259882898435E-9</v>
      </c>
      <c r="U12" s="25"/>
      <c r="X12" s="2"/>
    </row>
    <row r="13" spans="1:24">
      <c r="A13" s="1" t="s">
        <v>21</v>
      </c>
      <c r="B13" s="1" t="s">
        <v>22</v>
      </c>
      <c r="C13" s="9">
        <f>+payroll!G13</f>
        <v>6.1148328438902851E-4</v>
      </c>
      <c r="D13" s="9">
        <f>+IFR!T13</f>
        <v>3.6511587619358601E-4</v>
      </c>
      <c r="E13" s="9">
        <f>+claims!R13</f>
        <v>0</v>
      </c>
      <c r="F13" s="9">
        <f>+costs!L13</f>
        <v>0</v>
      </c>
      <c r="H13" s="28">
        <f t="shared" si="3"/>
        <v>1.2207489507282682E-4</v>
      </c>
      <c r="J13" s="2">
        <f t="shared" si="0"/>
        <v>6388.2099280369175</v>
      </c>
      <c r="L13" s="7">
        <f>+J13/payroll!F13</f>
        <v>8.6452201857567621E-4</v>
      </c>
      <c r="O13" s="2">
        <v>7328.4398984179334</v>
      </c>
      <c r="P13" s="17">
        <f t="shared" si="1"/>
        <v>-940.22997038101585</v>
      </c>
      <c r="R13" s="28">
        <v>1.2208492913398493E-4</v>
      </c>
      <c r="S13" s="9">
        <f t="shared" si="2"/>
        <v>-1.0034061158104316E-8</v>
      </c>
      <c r="U13" s="25"/>
      <c r="X13" s="2"/>
    </row>
    <row r="14" spans="1:24">
      <c r="A14" s="1" t="s">
        <v>23</v>
      </c>
      <c r="B14" s="1" t="s">
        <v>24</v>
      </c>
      <c r="C14" s="9">
        <f>+payroll!G14</f>
        <v>1.9733480778709521E-3</v>
      </c>
      <c r="D14" s="9">
        <f>+IFR!T14</f>
        <v>1.5475269512182433E-3</v>
      </c>
      <c r="E14" s="9">
        <f>+claims!R14</f>
        <v>0</v>
      </c>
      <c r="F14" s="9">
        <f>+costs!L14</f>
        <v>0</v>
      </c>
      <c r="H14" s="28">
        <f t="shared" si="3"/>
        <v>4.401093786361494E-4</v>
      </c>
      <c r="J14" s="2">
        <f t="shared" si="0"/>
        <v>23031.034352708895</v>
      </c>
      <c r="L14" s="7">
        <f>+J14/payroll!F14</f>
        <v>9.6580892668872312E-4</v>
      </c>
      <c r="O14" s="2">
        <v>26420.536796039094</v>
      </c>
      <c r="P14" s="17">
        <f t="shared" si="1"/>
        <v>-3389.5024433301987</v>
      </c>
      <c r="R14" s="28">
        <v>4.4014134074055883E-4</v>
      </c>
      <c r="S14" s="9">
        <f t="shared" si="2"/>
        <v>-3.1962104409433319E-8</v>
      </c>
      <c r="U14" s="25"/>
      <c r="X14" s="2"/>
    </row>
    <row r="15" spans="1:24">
      <c r="A15" s="1" t="s">
        <v>25</v>
      </c>
      <c r="B15" s="1" t="s">
        <v>26</v>
      </c>
      <c r="C15" s="9">
        <f>+payroll!G15</f>
        <v>3.6576214316678387E-5</v>
      </c>
      <c r="D15" s="9">
        <f>+IFR!T15</f>
        <v>2.2023954831658342E-5</v>
      </c>
      <c r="E15" s="9">
        <f>+claims!R15</f>
        <v>0</v>
      </c>
      <c r="F15" s="9">
        <f>+costs!L15</f>
        <v>0</v>
      </c>
      <c r="H15" s="28">
        <f t="shared" si="3"/>
        <v>7.3250211435420912E-6</v>
      </c>
      <c r="J15" s="2">
        <f t="shared" si="0"/>
        <v>383.32019670661958</v>
      </c>
      <c r="L15" s="7">
        <f>+J15/payroll!F15</f>
        <v>8.6725021845262705E-4</v>
      </c>
      <c r="O15" s="2">
        <v>439.73793104440972</v>
      </c>
      <c r="P15" s="17">
        <f t="shared" si="1"/>
        <v>-56.417734337790137</v>
      </c>
      <c r="R15" s="28">
        <v>7.3256211271749029E-6</v>
      </c>
      <c r="S15" s="9">
        <f t="shared" si="2"/>
        <v>-5.9998363281162792E-10</v>
      </c>
      <c r="U15" s="25"/>
      <c r="X15" s="2"/>
    </row>
    <row r="16" spans="1:24">
      <c r="A16" s="1" t="s">
        <v>532</v>
      </c>
      <c r="B16" s="1" t="s">
        <v>555</v>
      </c>
      <c r="C16" s="9">
        <f>+payroll!G16</f>
        <v>1.7930969578623096E-4</v>
      </c>
      <c r="D16" s="9">
        <f>+IFR!T16</f>
        <v>1.2627067436817453E-4</v>
      </c>
      <c r="E16" s="9">
        <f>+claims!R16</f>
        <v>0</v>
      </c>
      <c r="F16" s="9">
        <f>+costs!L16</f>
        <v>0</v>
      </c>
      <c r="H16" s="28">
        <f t="shared" si="3"/>
        <v>3.8197546269300682E-5</v>
      </c>
      <c r="J16" s="2">
        <f t="shared" si="0"/>
        <v>1998.8871926420541</v>
      </c>
      <c r="L16" s="7">
        <f>+J16/payroll!F16</f>
        <v>9.2249916270264109E-4</v>
      </c>
      <c r="O16" s="2">
        <v>2293.0743964362987</v>
      </c>
      <c r="P16" s="17">
        <f t="shared" si="1"/>
        <v>-294.18720379424462</v>
      </c>
      <c r="R16" s="28">
        <v>3.8200466820819048E-5</v>
      </c>
      <c r="S16" s="9">
        <f t="shared" si="2"/>
        <v>-2.9205515183656507E-9</v>
      </c>
      <c r="U16" s="25"/>
      <c r="X16" s="2"/>
    </row>
    <row r="17" spans="1:24">
      <c r="A17" s="1" t="s">
        <v>27</v>
      </c>
      <c r="B17" s="1" t="s">
        <v>502</v>
      </c>
      <c r="C17" s="9">
        <f>+payroll!G17</f>
        <v>3.8069707373542899E-4</v>
      </c>
      <c r="D17" s="9">
        <f>+IFR!T17</f>
        <v>2.1028288540310457E-4</v>
      </c>
      <c r="E17" s="9">
        <f>+claims!R17</f>
        <v>0</v>
      </c>
      <c r="F17" s="9">
        <f>+costs!L17</f>
        <v>0</v>
      </c>
      <c r="H17" s="28">
        <f t="shared" si="3"/>
        <v>7.3872494892316689E-5</v>
      </c>
      <c r="J17" s="2">
        <f t="shared" si="0"/>
        <v>3865.7662167018243</v>
      </c>
      <c r="L17" s="7">
        <f>+J17/payroll!F17</f>
        <v>8.4030610122541106E-4</v>
      </c>
      <c r="O17" s="2">
        <v>4434.7493611413875</v>
      </c>
      <c r="P17" s="17">
        <f t="shared" si="1"/>
        <v>-568.98314443956315</v>
      </c>
      <c r="R17" s="28">
        <v>7.3878761235227197E-5</v>
      </c>
      <c r="S17" s="9">
        <f t="shared" si="2"/>
        <v>-6.2663429105082541E-9</v>
      </c>
      <c r="U17" s="25"/>
      <c r="X17" s="2"/>
    </row>
    <row r="18" spans="1:24">
      <c r="A18" s="1" t="s">
        <v>28</v>
      </c>
      <c r="B18" s="1" t="s">
        <v>503</v>
      </c>
      <c r="C18" s="9">
        <f>+payroll!G18</f>
        <v>3.2879937175395694E-4</v>
      </c>
      <c r="D18" s="9">
        <f>+IFR!T18</f>
        <v>1.9257195505931266E-4</v>
      </c>
      <c r="E18" s="9">
        <f>+claims!R18</f>
        <v>5.7253748613856657E-5</v>
      </c>
      <c r="F18" s="9">
        <f>+costs!L18</f>
        <v>6.9263691409272331E-6</v>
      </c>
      <c r="H18" s="28">
        <f t="shared" si="3"/>
        <v>7.7915299628293546E-5</v>
      </c>
      <c r="J18" s="2">
        <f t="shared" si="0"/>
        <v>4077.3272042093272</v>
      </c>
      <c r="L18" s="7">
        <f>+J18/payroll!F18</f>
        <v>1.0261859277556455E-3</v>
      </c>
      <c r="O18" s="2">
        <v>4677.4385060352442</v>
      </c>
      <c r="P18" s="17">
        <f t="shared" si="1"/>
        <v>-600.11130182591705</v>
      </c>
      <c r="R18" s="28">
        <v>7.7921734564700802E-5</v>
      </c>
      <c r="S18" s="9">
        <f t="shared" si="2"/>
        <v>-6.4349364072561381E-9</v>
      </c>
      <c r="U18" s="25"/>
      <c r="X18" s="2"/>
    </row>
    <row r="19" spans="1:24">
      <c r="A19" s="1" t="s">
        <v>29</v>
      </c>
      <c r="B19" s="1" t="s">
        <v>504</v>
      </c>
      <c r="C19" s="9">
        <f>+payroll!G19</f>
        <v>2.8421621886589178E-4</v>
      </c>
      <c r="D19" s="9">
        <f>+IFR!T19</f>
        <v>1.7437925070357821E-4</v>
      </c>
      <c r="E19" s="9">
        <f>+claims!R19</f>
        <v>0</v>
      </c>
      <c r="F19" s="9">
        <f>+costs!L19</f>
        <v>0</v>
      </c>
      <c r="H19" s="28">
        <f t="shared" si="3"/>
        <v>5.7324433696183752E-5</v>
      </c>
      <c r="J19" s="2">
        <f t="shared" si="0"/>
        <v>2999.8020169387732</v>
      </c>
      <c r="L19" s="7">
        <f>+J19/payroll!F19</f>
        <v>8.7342416707087399E-4</v>
      </c>
      <c r="O19" s="2">
        <v>3441.3158904936759</v>
      </c>
      <c r="P19" s="17">
        <f t="shared" si="1"/>
        <v>-441.5138735549026</v>
      </c>
      <c r="R19" s="28">
        <v>5.7329092200002224E-5</v>
      </c>
      <c r="S19" s="9">
        <f t="shared" si="2"/>
        <v>-4.6585038184719088E-9</v>
      </c>
      <c r="U19" s="25"/>
      <c r="X19" s="2"/>
    </row>
    <row r="20" spans="1:24">
      <c r="A20" s="1" t="s">
        <v>30</v>
      </c>
      <c r="B20" s="1" t="s">
        <v>505</v>
      </c>
      <c r="C20" s="9">
        <f>+payroll!G20</f>
        <v>3.2839786085537919E-4</v>
      </c>
      <c r="D20" s="9">
        <f>+IFR!T20</f>
        <v>1.8130761982770405E-4</v>
      </c>
      <c r="E20" s="9">
        <f>+claims!R20</f>
        <v>0</v>
      </c>
      <c r="F20" s="9">
        <f>+costs!L20</f>
        <v>0</v>
      </c>
      <c r="H20" s="28">
        <f t="shared" si="3"/>
        <v>6.3713185085385404E-5</v>
      </c>
      <c r="J20" s="2">
        <f t="shared" si="0"/>
        <v>3334.1269821817073</v>
      </c>
      <c r="L20" s="7">
        <f>+J20/payroll!F20</f>
        <v>8.401624853642465E-4</v>
      </c>
      <c r="O20" s="2">
        <v>3824.8608199980063</v>
      </c>
      <c r="P20" s="17">
        <f t="shared" si="1"/>
        <v>-490.733837816299</v>
      </c>
      <c r="R20" s="28">
        <v>6.3718590672704991E-5</v>
      </c>
      <c r="S20" s="9">
        <f t="shared" si="2"/>
        <v>-5.4055873195864041E-9</v>
      </c>
      <c r="U20" s="25"/>
      <c r="X20" s="2"/>
    </row>
    <row r="21" spans="1:24">
      <c r="A21" s="1" t="s">
        <v>31</v>
      </c>
      <c r="B21" s="1" t="s">
        <v>506</v>
      </c>
      <c r="C21" s="9">
        <f>+payroll!G21</f>
        <v>5.5355031433388735E-4</v>
      </c>
      <c r="D21" s="9">
        <f>+IFR!T21</f>
        <v>3.1218955973875707E-4</v>
      </c>
      <c r="E21" s="9">
        <f>+claims!R21</f>
        <v>0</v>
      </c>
      <c r="F21" s="9">
        <f>+costs!L21</f>
        <v>0</v>
      </c>
      <c r="H21" s="28">
        <f t="shared" si="3"/>
        <v>1.0821748425908056E-4</v>
      </c>
      <c r="J21" s="2">
        <f t="shared" si="0"/>
        <v>5663.0481387562568</v>
      </c>
      <c r="L21" s="7">
        <f>+J21/payroll!F21</f>
        <v>8.465928975587597E-4</v>
      </c>
      <c r="O21" s="2">
        <v>6564.7269501330302</v>
      </c>
      <c r="P21" s="17">
        <f t="shared" si="1"/>
        <v>-901.67881137677341</v>
      </c>
      <c r="R21" s="28">
        <v>1.0936218835116192E-4</v>
      </c>
      <c r="S21" s="9">
        <f t="shared" si="2"/>
        <v>-1.1447040920813654E-6</v>
      </c>
      <c r="U21" s="25"/>
      <c r="X21" s="2"/>
    </row>
    <row r="22" spans="1:24">
      <c r="A22" s="1" t="s">
        <v>32</v>
      </c>
      <c r="B22" s="1" t="s">
        <v>507</v>
      </c>
      <c r="C22" s="9">
        <f>+payroll!G22</f>
        <v>1.4021152047623181E-4</v>
      </c>
      <c r="D22" s="9">
        <f>+IFR!T22</f>
        <v>8.0731559429797622E-5</v>
      </c>
      <c r="E22" s="9">
        <f>+claims!R22</f>
        <v>0</v>
      </c>
      <c r="F22" s="9">
        <f>+costs!L22</f>
        <v>0</v>
      </c>
      <c r="H22" s="28">
        <f t="shared" si="3"/>
        <v>2.7617884988253677E-5</v>
      </c>
      <c r="J22" s="2">
        <f t="shared" si="0"/>
        <v>1445.2508598765605</v>
      </c>
      <c r="L22" s="7">
        <f>+J22/payroll!F22</f>
        <v>8.529842389833252E-4</v>
      </c>
      <c r="O22" s="2">
        <v>1657.9679221866215</v>
      </c>
      <c r="P22" s="17">
        <f t="shared" si="1"/>
        <v>-212.71706231006101</v>
      </c>
      <c r="R22" s="28">
        <v>2.762018916608307E-5</v>
      </c>
      <c r="S22" s="9">
        <f t="shared" si="2"/>
        <v>-2.3041778293928232E-9</v>
      </c>
      <c r="U22" s="25"/>
      <c r="X22" s="2"/>
    </row>
    <row r="23" spans="1:24">
      <c r="A23" s="1" t="s">
        <v>33</v>
      </c>
      <c r="B23" s="1" t="s">
        <v>508</v>
      </c>
      <c r="C23" s="9">
        <f>+payroll!G23</f>
        <v>1.5768121289470302E-4</v>
      </c>
      <c r="D23" s="9">
        <f>+IFR!T23</f>
        <v>9.2179427618336682E-5</v>
      </c>
      <c r="E23" s="9">
        <f>+claims!R23</f>
        <v>0</v>
      </c>
      <c r="F23" s="9">
        <f>+costs!L23</f>
        <v>0</v>
      </c>
      <c r="H23" s="28">
        <f t="shared" si="3"/>
        <v>3.1232580064129964E-5</v>
      </c>
      <c r="J23" s="2">
        <f t="shared" si="0"/>
        <v>1634.4087613170107</v>
      </c>
      <c r="L23" s="7">
        <f>+J23/payroll!F23</f>
        <v>8.5775290740277535E-4</v>
      </c>
      <c r="O23" s="2">
        <v>1874.9657790196143</v>
      </c>
      <c r="P23" s="17">
        <f t="shared" si="1"/>
        <v>-240.55701770260362</v>
      </c>
      <c r="R23" s="28">
        <v>3.1235169754161806E-5</v>
      </c>
      <c r="S23" s="9">
        <f t="shared" si="2"/>
        <v>-2.5896900318419396E-9</v>
      </c>
      <c r="U23" s="25"/>
      <c r="X23" s="2"/>
    </row>
    <row r="24" spans="1:24">
      <c r="A24" s="1" t="s">
        <v>34</v>
      </c>
      <c r="B24" s="1" t="s">
        <v>509</v>
      </c>
      <c r="C24" s="9">
        <f>+payroll!G24</f>
        <v>1.4101340663234062E-4</v>
      </c>
      <c r="D24" s="9">
        <f>+IFR!T24</f>
        <v>9.4588297678049307E-5</v>
      </c>
      <c r="E24" s="9">
        <f>+claims!R24</f>
        <v>0</v>
      </c>
      <c r="F24" s="9">
        <f>+costs!L24</f>
        <v>0</v>
      </c>
      <c r="H24" s="28">
        <f t="shared" si="3"/>
        <v>2.9450213038798741E-5</v>
      </c>
      <c r="J24" s="2">
        <f t="shared" si="0"/>
        <v>1541.13704709736</v>
      </c>
      <c r="L24" s="7">
        <f>+J24/payroll!F24</f>
        <v>9.0440368874927964E-4</v>
      </c>
      <c r="O24" s="2">
        <v>1767.9576742820996</v>
      </c>
      <c r="P24" s="17">
        <f t="shared" si="1"/>
        <v>-226.82062718473958</v>
      </c>
      <c r="R24" s="28">
        <v>2.9452515183103401E-5</v>
      </c>
      <c r="S24" s="9">
        <f t="shared" si="2"/>
        <v>-2.3021443046600785E-9</v>
      </c>
      <c r="U24" s="25"/>
      <c r="X24" s="2"/>
    </row>
    <row r="25" spans="1:24">
      <c r="A25" s="1" t="s">
        <v>35</v>
      </c>
      <c r="B25" s="1" t="s">
        <v>510</v>
      </c>
      <c r="C25" s="9">
        <f>+payroll!G25</f>
        <v>1.5857715837568463E-4</v>
      </c>
      <c r="D25" s="9">
        <f>+IFR!T25</f>
        <v>1.0399436172073675E-4</v>
      </c>
      <c r="E25" s="9">
        <f>+claims!R25</f>
        <v>5.7253748613856657E-5</v>
      </c>
      <c r="F25" s="9">
        <f>+costs!L25</f>
        <v>5.7536393533666333E-6</v>
      </c>
      <c r="H25" s="28">
        <f t="shared" si="3"/>
        <v>4.4861685916151151E-5</v>
      </c>
      <c r="J25" s="2">
        <f t="shared" si="0"/>
        <v>2347.6232945935426</v>
      </c>
      <c r="L25" s="7">
        <f>+J25/payroll!F25</f>
        <v>1.225093534854656E-3</v>
      </c>
      <c r="O25" s="2">
        <v>2693.1477173656826</v>
      </c>
      <c r="P25" s="17">
        <f t="shared" si="1"/>
        <v>-345.52442277214004</v>
      </c>
      <c r="R25" s="28">
        <v>4.4865312778634168E-5</v>
      </c>
      <c r="S25" s="9">
        <f t="shared" si="2"/>
        <v>-3.6268624830168182E-9</v>
      </c>
      <c r="U25" s="25"/>
      <c r="X25" s="2"/>
    </row>
    <row r="26" spans="1:24">
      <c r="A26" s="1" t="s">
        <v>36</v>
      </c>
      <c r="B26" s="1" t="s">
        <v>511</v>
      </c>
      <c r="C26" s="9">
        <f>+payroll!G26</f>
        <v>1.4030434678787205E-4</v>
      </c>
      <c r="D26" s="9">
        <f>+IFR!T26</f>
        <v>7.8506222327015464E-5</v>
      </c>
      <c r="E26" s="9">
        <f>+claims!R26</f>
        <v>0</v>
      </c>
      <c r="F26" s="9">
        <f>+costs!L26</f>
        <v>0</v>
      </c>
      <c r="H26" s="28">
        <f t="shared" si="3"/>
        <v>2.7351321139360939E-5</v>
      </c>
      <c r="J26" s="2">
        <f t="shared" si="0"/>
        <v>1431.301506695168</v>
      </c>
      <c r="L26" s="7">
        <f>+J26/payroll!F26</f>
        <v>8.4419246468640287E-4</v>
      </c>
      <c r="O26" s="2">
        <v>1641.9670364441952</v>
      </c>
      <c r="P26" s="17">
        <f t="shared" si="1"/>
        <v>-210.6655297490272</v>
      </c>
      <c r="R26" s="28">
        <v>2.7353629430447271E-5</v>
      </c>
      <c r="S26" s="9">
        <f t="shared" si="2"/>
        <v>-2.3082910863317884E-9</v>
      </c>
      <c r="U26" s="25"/>
      <c r="X26" s="2"/>
    </row>
    <row r="27" spans="1:24">
      <c r="A27" s="1" t="s">
        <v>37</v>
      </c>
      <c r="B27" s="1" t="s">
        <v>512</v>
      </c>
      <c r="C27" s="9">
        <f>+payroll!G27</f>
        <v>1.412512099226801E-4</v>
      </c>
      <c r="D27" s="9">
        <f>+IFR!T27</f>
        <v>9.5850086756946434E-5</v>
      </c>
      <c r="E27" s="9">
        <f>+claims!R27</f>
        <v>0</v>
      </c>
      <c r="F27" s="9">
        <f>+costs!L27</f>
        <v>0</v>
      </c>
      <c r="H27" s="28">
        <f t="shared" si="3"/>
        <v>2.9637662084953317E-5</v>
      </c>
      <c r="J27" s="2">
        <f t="shared" si="0"/>
        <v>1550.9463027754528</v>
      </c>
      <c r="L27" s="7">
        <f>+J27/payroll!F27</f>
        <v>9.0862787135788977E-4</v>
      </c>
      <c r="O27" s="2">
        <v>1779.2099095614849</v>
      </c>
      <c r="P27" s="17">
        <f t="shared" si="1"/>
        <v>-228.26360678603214</v>
      </c>
      <c r="R27" s="28">
        <v>2.9639966859821011E-5</v>
      </c>
      <c r="S27" s="9">
        <f t="shared" si="2"/>
        <v>-2.3047748676943247E-9</v>
      </c>
      <c r="U27" s="25"/>
      <c r="X27" s="2"/>
    </row>
    <row r="28" spans="1:24">
      <c r="A28" s="1" t="s">
        <v>38</v>
      </c>
      <c r="B28" s="1" t="s">
        <v>513</v>
      </c>
      <c r="C28" s="9">
        <f>+payroll!G28</f>
        <v>1.3947942066235258E-4</v>
      </c>
      <c r="D28" s="9">
        <f>+IFR!T28</f>
        <v>7.8460339087782854E-5</v>
      </c>
      <c r="E28" s="9">
        <f>+claims!R28</f>
        <v>0</v>
      </c>
      <c r="F28" s="9">
        <f>+costs!L28</f>
        <v>0</v>
      </c>
      <c r="H28" s="28">
        <f t="shared" si="3"/>
        <v>2.7242469968766927E-5</v>
      </c>
      <c r="J28" s="2">
        <f t="shared" si="0"/>
        <v>1425.6052975913037</v>
      </c>
      <c r="L28" s="7">
        <f>+J28/payroll!F28</f>
        <v>8.4580575285830308E-4</v>
      </c>
      <c r="O28" s="2">
        <v>1635.4321415461386</v>
      </c>
      <c r="P28" s="17">
        <f t="shared" si="1"/>
        <v>-209.82684395483489</v>
      </c>
      <c r="R28" s="28">
        <v>2.7244764216078862E-5</v>
      </c>
      <c r="S28" s="9">
        <f t="shared" si="2"/>
        <v>-2.2942473119350797E-9</v>
      </c>
      <c r="U28" s="25"/>
      <c r="X28" s="2"/>
    </row>
    <row r="29" spans="1:24">
      <c r="A29" s="1" t="s">
        <v>39</v>
      </c>
      <c r="B29" s="1" t="s">
        <v>514</v>
      </c>
      <c r="C29" s="9">
        <f>+payroll!G29</f>
        <v>2.8068300096649321E-4</v>
      </c>
      <c r="D29" s="9">
        <f>+IFR!T29</f>
        <v>1.5744833542674083E-4</v>
      </c>
      <c r="E29" s="9">
        <f>+claims!R29</f>
        <v>0</v>
      </c>
      <c r="F29" s="9">
        <f>+costs!L29</f>
        <v>0</v>
      </c>
      <c r="H29" s="28">
        <f t="shared" si="3"/>
        <v>5.4766417049154255E-5</v>
      </c>
      <c r="J29" s="2">
        <f t="shared" si="0"/>
        <v>2865.9403631491978</v>
      </c>
      <c r="L29" s="7">
        <f>+J29/payroll!F29</f>
        <v>8.4495291158175609E-4</v>
      </c>
      <c r="O29" s="2">
        <v>3287.7623525376212</v>
      </c>
      <c r="P29" s="17">
        <f t="shared" si="1"/>
        <v>-421.82198938842339</v>
      </c>
      <c r="R29" s="28">
        <v>5.4771034406052844E-5</v>
      </c>
      <c r="S29" s="9">
        <f t="shared" si="2"/>
        <v>-4.6173568985890786E-9</v>
      </c>
      <c r="U29" s="25"/>
      <c r="X29" s="2"/>
    </row>
    <row r="30" spans="1:24">
      <c r="A30" s="1" t="s">
        <v>40</v>
      </c>
      <c r="B30" s="1" t="s">
        <v>515</v>
      </c>
      <c r="C30" s="9">
        <f>+payroll!G30</f>
        <v>4.2021410984698207E-4</v>
      </c>
      <c r="D30" s="9">
        <f>+IFR!T30</f>
        <v>2.2430021498867042E-4</v>
      </c>
      <c r="E30" s="9">
        <f>+claims!R30</f>
        <v>0</v>
      </c>
      <c r="F30" s="9">
        <f>+costs!L30</f>
        <v>0</v>
      </c>
      <c r="H30" s="28">
        <f t="shared" si="3"/>
        <v>8.0564290604456565E-5</v>
      </c>
      <c r="J30" s="2">
        <f t="shared" si="0"/>
        <v>4215.9495674979407</v>
      </c>
      <c r="L30" s="7">
        <f>+J30/payroll!F30</f>
        <v>8.3024495473378872E-4</v>
      </c>
      <c r="O30" s="2">
        <v>4836.4799832232848</v>
      </c>
      <c r="P30" s="17">
        <f t="shared" si="1"/>
        <v>-620.53041572534403</v>
      </c>
      <c r="R30" s="28">
        <v>8.0571216274451579E-5</v>
      </c>
      <c r="S30" s="9">
        <f t="shared" si="2"/>
        <v>-6.9256699950144031E-9</v>
      </c>
      <c r="U30" s="25"/>
      <c r="X30" s="2"/>
    </row>
    <row r="31" spans="1:24">
      <c r="A31" s="48" t="s">
        <v>587</v>
      </c>
      <c r="B31" s="48" t="s">
        <v>588</v>
      </c>
      <c r="C31" s="9">
        <f>+payroll!G31</f>
        <v>1.8265121529780208E-4</v>
      </c>
      <c r="D31" s="9">
        <f>+IFR!T31</f>
        <v>1.0461378545037714E-4</v>
      </c>
      <c r="E31" s="9">
        <f>+claims!R31</f>
        <v>0</v>
      </c>
      <c r="F31" s="9">
        <f>+costs!L31</f>
        <v>0</v>
      </c>
      <c r="H31" s="28">
        <f t="shared" si="3"/>
        <v>3.5908125093522403E-5</v>
      </c>
      <c r="J31" s="2">
        <f t="shared" si="0"/>
        <v>1879.0812073422946</v>
      </c>
      <c r="L31" s="7">
        <f>+J31/payroll!F31</f>
        <v>8.5134276974021563E-4</v>
      </c>
      <c r="O31" s="2">
        <v>2155.651317797799</v>
      </c>
      <c r="P31" s="17">
        <f>+J31-O31</f>
        <v>-276.57011045550439</v>
      </c>
      <c r="R31" s="28">
        <v>3.5911127336629904E-5</v>
      </c>
      <c r="S31" s="9">
        <f>+H31-R31</f>
        <v>-3.0022431075007604E-9</v>
      </c>
      <c r="U31" s="25"/>
      <c r="X31" s="2"/>
    </row>
    <row r="32" spans="1:24">
      <c r="A32" s="1" t="s">
        <v>41</v>
      </c>
      <c r="B32" s="1" t="s">
        <v>516</v>
      </c>
      <c r="C32" s="9">
        <f>+payroll!G32</f>
        <v>8.8110068638355271E-3</v>
      </c>
      <c r="D32" s="9">
        <f>+IFR!T32</f>
        <v>3.6018342797607913E-3</v>
      </c>
      <c r="E32" s="9">
        <f>+claims!R32</f>
        <v>5.7253748613856657E-5</v>
      </c>
      <c r="F32" s="9">
        <f>+costs!L32</f>
        <v>4.9345797102201452E-2</v>
      </c>
      <c r="H32" s="28">
        <f t="shared" si="3"/>
        <v>3.1167671466562488E-2</v>
      </c>
      <c r="J32" s="2">
        <f t="shared" si="0"/>
        <v>1631012.0780993176</v>
      </c>
      <c r="L32" s="7">
        <f>+J32/payroll!F32</f>
        <v>1.5318389445959911E-2</v>
      </c>
      <c r="O32" s="2">
        <v>1870922.8870486631</v>
      </c>
      <c r="P32" s="17">
        <f t="shared" si="1"/>
        <v>-239910.80894934549</v>
      </c>
      <c r="R32" s="28">
        <v>3.1167818969190984E-2</v>
      </c>
      <c r="S32" s="9">
        <f t="shared" si="2"/>
        <v>-1.4750262849680396E-7</v>
      </c>
      <c r="U32" s="25"/>
      <c r="X32" s="2"/>
    </row>
    <row r="33" spans="1:24">
      <c r="A33" s="1" t="s">
        <v>42</v>
      </c>
      <c r="B33" s="1" t="s">
        <v>43</v>
      </c>
      <c r="C33" s="9">
        <f>+payroll!G33</f>
        <v>7.999699583799209E-5</v>
      </c>
      <c r="D33" s="9">
        <f>+IFR!T33</f>
        <v>6.9788406872817369E-5</v>
      </c>
      <c r="E33" s="9">
        <f>+claims!R33</f>
        <v>0</v>
      </c>
      <c r="F33" s="9">
        <f>+costs!L33</f>
        <v>0</v>
      </c>
      <c r="H33" s="28">
        <f t="shared" si="3"/>
        <v>1.8723175338851182E-5</v>
      </c>
      <c r="J33" s="2">
        <f t="shared" si="0"/>
        <v>979.78846930542284</v>
      </c>
      <c r="L33" s="7">
        <f>+J33/payroll!F33</f>
        <v>1.0135381844000946E-3</v>
      </c>
      <c r="O33" s="2">
        <v>1123.9806823738115</v>
      </c>
      <c r="P33" s="17">
        <f t="shared" si="1"/>
        <v>-144.1922130683887</v>
      </c>
      <c r="R33" s="28">
        <v>1.8724463031374269E-5</v>
      </c>
      <c r="S33" s="9">
        <f t="shared" si="2"/>
        <v>-1.2876925230861751E-9</v>
      </c>
      <c r="U33" s="25"/>
      <c r="X33" s="2"/>
    </row>
    <row r="34" spans="1:24">
      <c r="A34" s="1" t="s">
        <v>44</v>
      </c>
      <c r="B34" s="1" t="s">
        <v>45</v>
      </c>
      <c r="C34" s="9">
        <f>+payroll!G34</f>
        <v>5.6339537951880352E-5</v>
      </c>
      <c r="D34" s="9">
        <f>+IFR!T34</f>
        <v>5.8684662978522961E-5</v>
      </c>
      <c r="E34" s="9">
        <f>+claims!R34</f>
        <v>0</v>
      </c>
      <c r="F34" s="9">
        <f>+costs!L34</f>
        <v>0</v>
      </c>
      <c r="H34" s="28">
        <f t="shared" si="3"/>
        <v>1.4378025116300414E-5</v>
      </c>
      <c r="J34" s="2">
        <f t="shared" si="0"/>
        <v>752.40566652725067</v>
      </c>
      <c r="L34" s="7">
        <f>+J34/payroll!F34</f>
        <v>1.1051475003299711E-3</v>
      </c>
      <c r="O34" s="2">
        <v>863.12913777283052</v>
      </c>
      <c r="P34" s="17">
        <f t="shared" si="1"/>
        <v>-110.72347124557984</v>
      </c>
      <c r="R34" s="28">
        <v>1.4378921172734449E-5</v>
      </c>
      <c r="S34" s="9">
        <f t="shared" si="2"/>
        <v>-8.9605643403530087E-10</v>
      </c>
      <c r="U34" s="25"/>
      <c r="X34" s="2"/>
    </row>
    <row r="35" spans="1:24">
      <c r="A35" s="1" t="s">
        <v>46</v>
      </c>
      <c r="B35" s="1" t="s">
        <v>47</v>
      </c>
      <c r="C35" s="9">
        <f>+payroll!G35</f>
        <v>2.0906777941916972E-3</v>
      </c>
      <c r="D35" s="9">
        <f>+IFR!T35</f>
        <v>1.5571853730767101E-3</v>
      </c>
      <c r="E35" s="9">
        <f>+claims!R35</f>
        <v>5.7253748613856657E-5</v>
      </c>
      <c r="F35" s="9">
        <f>+costs!L35</f>
        <v>4.9287976156679927E-6</v>
      </c>
      <c r="H35" s="28">
        <f t="shared" si="3"/>
        <v>4.6752823677003016E-4</v>
      </c>
      <c r="J35" s="2">
        <f t="shared" si="0"/>
        <v>24465.870087294603</v>
      </c>
      <c r="L35" s="7">
        <f>+J35/payroll!F35</f>
        <v>9.6840055098122333E-4</v>
      </c>
      <c r="O35" s="2">
        <v>28066.60117502826</v>
      </c>
      <c r="P35" s="17">
        <f t="shared" si="1"/>
        <v>-3600.7310877336568</v>
      </c>
      <c r="R35" s="28">
        <v>4.6756322805142458E-4</v>
      </c>
      <c r="S35" s="9">
        <f t="shared" si="2"/>
        <v>-3.4991281394418892E-8</v>
      </c>
      <c r="U35" s="25"/>
      <c r="X35" s="2"/>
    </row>
    <row r="36" spans="1:24">
      <c r="A36" s="1" t="s">
        <v>48</v>
      </c>
      <c r="B36" s="1" t="s">
        <v>49</v>
      </c>
      <c r="C36" s="9">
        <f>+payroll!G36</f>
        <v>2.227116079295368E-2</v>
      </c>
      <c r="D36" s="9">
        <f>+IFR!T36</f>
        <v>2.2303796707738098E-2</v>
      </c>
      <c r="E36" s="9">
        <f>+claims!R36</f>
        <v>2.0611349500988395E-3</v>
      </c>
      <c r="F36" s="9">
        <f>+costs!L36</f>
        <v>1.9801563176062415E-3</v>
      </c>
      <c r="H36" s="28">
        <f t="shared" si="3"/>
        <v>7.0691337206650433E-3</v>
      </c>
      <c r="J36" s="2">
        <f t="shared" si="0"/>
        <v>369929.54358086636</v>
      </c>
      <c r="L36" s="7">
        <f>+J36/payroll!F36</f>
        <v>1.3745407899955124E-3</v>
      </c>
      <c r="O36" s="2">
        <v>424365.22164922871</v>
      </c>
      <c r="P36" s="17">
        <f t="shared" si="1"/>
        <v>-54435.678068362351</v>
      </c>
      <c r="R36" s="28">
        <v>7.0695262197836067E-3</v>
      </c>
      <c r="S36" s="9">
        <f t="shared" si="2"/>
        <v>-3.9249911856342051E-7</v>
      </c>
      <c r="U36" s="25"/>
      <c r="X36" s="2"/>
    </row>
    <row r="37" spans="1:24">
      <c r="A37" s="1" t="s">
        <v>50</v>
      </c>
      <c r="B37" s="1" t="s">
        <v>485</v>
      </c>
      <c r="C37" s="9">
        <f>+payroll!G37</f>
        <v>2.1366912636693941E-3</v>
      </c>
      <c r="D37" s="9">
        <f>+IFR!T37</f>
        <v>2.2031066733739402E-3</v>
      </c>
      <c r="E37" s="9">
        <f>+claims!R37</f>
        <v>1.6031049611879866E-3</v>
      </c>
      <c r="F37" s="9">
        <f>+costs!L37</f>
        <v>1.7841848756583731E-3</v>
      </c>
      <c r="H37" s="28">
        <f t="shared" si="3"/>
        <v>1.8534514117036385E-3</v>
      </c>
      <c r="J37" s="2">
        <f t="shared" ref="J37:J68" si="4">(+H37*$J$272)</f>
        <v>96991.578017049571</v>
      </c>
      <c r="L37" s="7">
        <f>+J37/payroll!F37</f>
        <v>3.756416330479238E-3</v>
      </c>
      <c r="O37" s="2">
        <v>111261.63596415552</v>
      </c>
      <c r="P37" s="17">
        <f t="shared" si="1"/>
        <v>-14270.057947105946</v>
      </c>
      <c r="R37" s="28">
        <v>1.8535144082913934E-3</v>
      </c>
      <c r="S37" s="9">
        <f t="shared" si="2"/>
        <v>-6.2996587754920313E-8</v>
      </c>
      <c r="U37" s="25"/>
      <c r="X37" s="2"/>
    </row>
    <row r="38" spans="1:24">
      <c r="A38" s="1" t="s">
        <v>51</v>
      </c>
      <c r="B38" s="1" t="s">
        <v>52</v>
      </c>
      <c r="C38" s="9">
        <f>+payroll!G38</f>
        <v>1.6936237878620541E-2</v>
      </c>
      <c r="D38" s="9">
        <f>+IFR!T38</f>
        <v>1.4490684023109225E-2</v>
      </c>
      <c r="E38" s="9">
        <f>+claims!R38</f>
        <v>1.3740899667325597E-3</v>
      </c>
      <c r="F38" s="9">
        <f>+costs!L38</f>
        <v>2.0937707181993971E-3</v>
      </c>
      <c r="H38" s="28">
        <f t="shared" si="3"/>
        <v>5.390741163645742E-3</v>
      </c>
      <c r="J38" s="2">
        <f t="shared" si="4"/>
        <v>282098.83940948424</v>
      </c>
      <c r="L38" s="7">
        <f>+J38/payroll!F38</f>
        <v>1.3783700358228237E-3</v>
      </c>
      <c r="O38" s="2">
        <v>323610.00844539516</v>
      </c>
      <c r="P38" s="17">
        <f t="shared" si="1"/>
        <v>-41511.16903591092</v>
      </c>
      <c r="R38" s="28">
        <v>5.3910389517738029E-3</v>
      </c>
      <c r="S38" s="9">
        <f t="shared" si="2"/>
        <v>-2.9778812806087462E-7</v>
      </c>
      <c r="U38" s="25"/>
      <c r="X38" s="2"/>
    </row>
    <row r="39" spans="1:24">
      <c r="A39" s="1" t="s">
        <v>53</v>
      </c>
      <c r="B39" s="1" t="s">
        <v>54</v>
      </c>
      <c r="C39" s="9">
        <f>+payroll!G39</f>
        <v>5.6973344130008229E-3</v>
      </c>
      <c r="D39" s="9">
        <f>+IFR!T39</f>
        <v>4.1597056439706213E-3</v>
      </c>
      <c r="E39" s="9">
        <f>+claims!R39</f>
        <v>6.8704498336627983E-4</v>
      </c>
      <c r="F39" s="9">
        <f>+costs!L39</f>
        <v>6.1104662573279828E-5</v>
      </c>
      <c r="H39" s="28">
        <f t="shared" si="3"/>
        <v>1.3718495521703406E-3</v>
      </c>
      <c r="J39" s="2">
        <f t="shared" si="4"/>
        <v>71789.231714836918</v>
      </c>
      <c r="L39" s="7">
        <f>+J39/payroll!F39</f>
        <v>1.0427232633776643E-3</v>
      </c>
      <c r="O39" s="2">
        <v>82354.856859874082</v>
      </c>
      <c r="P39" s="17">
        <f t="shared" si="1"/>
        <v>-10565.625145037164</v>
      </c>
      <c r="R39" s="28">
        <v>1.3719546046557225E-3</v>
      </c>
      <c r="S39" s="9">
        <f t="shared" si="2"/>
        <v>-1.0505248538195296E-7</v>
      </c>
      <c r="U39" s="25"/>
      <c r="X39" s="2"/>
    </row>
    <row r="40" spans="1:24">
      <c r="A40" s="1" t="s">
        <v>55</v>
      </c>
      <c r="B40" s="1" t="s">
        <v>56</v>
      </c>
      <c r="C40" s="9">
        <f>+payroll!G40</f>
        <v>7.4158763003049309E-4</v>
      </c>
      <c r="D40" s="9">
        <f>+IFR!T40</f>
        <v>8.5466709718604158E-4</v>
      </c>
      <c r="E40" s="9">
        <f>+claims!R40</f>
        <v>1.7176124584156996E-4</v>
      </c>
      <c r="F40" s="9">
        <f>+costs!L40</f>
        <v>5.9722960604404955E-5</v>
      </c>
      <c r="H40" s="28">
        <f t="shared" si="3"/>
        <v>2.6112980414094532E-4</v>
      </c>
      <c r="J40" s="2">
        <f t="shared" si="4"/>
        <v>13664.988254336364</v>
      </c>
      <c r="L40" s="7">
        <f>+J40/payroll!F40</f>
        <v>1.5248539698789506E-3</v>
      </c>
      <c r="O40" s="2">
        <v>15675.829948719922</v>
      </c>
      <c r="P40" s="17">
        <f t="shared" si="1"/>
        <v>-2010.8416943835582</v>
      </c>
      <c r="R40" s="28">
        <v>2.6114461125880534E-4</v>
      </c>
      <c r="S40" s="9">
        <f t="shared" si="2"/>
        <v>-1.480711786001768E-8</v>
      </c>
      <c r="U40" s="25"/>
      <c r="X40" s="2"/>
    </row>
    <row r="41" spans="1:24">
      <c r="A41" s="1" t="s">
        <v>57</v>
      </c>
      <c r="B41" s="1" t="s">
        <v>58</v>
      </c>
      <c r="C41" s="9">
        <f>+payroll!G41</f>
        <v>1.200843208853739E-3</v>
      </c>
      <c r="D41" s="9">
        <f>+IFR!T41</f>
        <v>1.167980796285998E-3</v>
      </c>
      <c r="E41" s="9">
        <f>+claims!R41</f>
        <v>5.7253748613856657E-5</v>
      </c>
      <c r="F41" s="9">
        <f>+costs!L41</f>
        <v>1.1133872115611255E-4</v>
      </c>
      <c r="H41" s="28">
        <f t="shared" si="3"/>
        <v>3.714942956282132E-4</v>
      </c>
      <c r="J41" s="2">
        <f t="shared" si="4"/>
        <v>19440.389820736287</v>
      </c>
      <c r="L41" s="7">
        <f>+J41/payroll!F41</f>
        <v>1.339677094220771E-3</v>
      </c>
      <c r="O41" s="2">
        <v>22301.047959308249</v>
      </c>
      <c r="P41" s="17">
        <f t="shared" si="1"/>
        <v>-2860.6581385719619</v>
      </c>
      <c r="R41" s="28">
        <v>3.7151452389116372E-4</v>
      </c>
      <c r="S41" s="9">
        <f t="shared" si="2"/>
        <v>-2.0228262950523074E-8</v>
      </c>
      <c r="U41" s="25"/>
      <c r="X41" s="2"/>
    </row>
    <row r="42" spans="1:24">
      <c r="A42" s="1" t="s">
        <v>59</v>
      </c>
      <c r="B42" s="1" t="s">
        <v>60</v>
      </c>
      <c r="C42" s="9">
        <f>+payroll!G42</f>
        <v>1.4007271270132381E-3</v>
      </c>
      <c r="D42" s="9">
        <f>+IFR!T42</f>
        <v>9.9435861902975767E-4</v>
      </c>
      <c r="E42" s="9">
        <f>+claims!R42</f>
        <v>5.7253748613856657E-5</v>
      </c>
      <c r="F42" s="9">
        <f>+costs!L42</f>
        <v>3.2094720895375616E-5</v>
      </c>
      <c r="H42" s="28">
        <f t="shared" si="3"/>
        <v>3.2723061308467832E-4</v>
      </c>
      <c r="J42" s="2">
        <f t="shared" si="4"/>
        <v>17124.060192868143</v>
      </c>
      <c r="L42" s="7">
        <f>+J42/payroll!F42</f>
        <v>1.0116602249227627E-3</v>
      </c>
      <c r="O42" s="2">
        <v>19644.231395103012</v>
      </c>
      <c r="P42" s="17">
        <f t="shared" si="1"/>
        <v>-2520.1712022348693</v>
      </c>
      <c r="R42" s="28">
        <v>3.2725445401830903E-4</v>
      </c>
      <c r="S42" s="9">
        <f t="shared" si="2"/>
        <v>-2.3840933630709868E-8</v>
      </c>
      <c r="U42" s="25"/>
      <c r="X42" s="2"/>
    </row>
    <row r="43" spans="1:24">
      <c r="A43" s="1" t="s">
        <v>61</v>
      </c>
      <c r="B43" s="1" t="s">
        <v>517</v>
      </c>
      <c r="C43" s="9">
        <f>+payroll!G43</f>
        <v>5.4424555720254415E-4</v>
      </c>
      <c r="D43" s="9">
        <f>+IFR!T43</f>
        <v>4.476368819534558E-4</v>
      </c>
      <c r="E43" s="9">
        <f>+claims!R43</f>
        <v>0</v>
      </c>
      <c r="F43" s="9">
        <f>+costs!L43</f>
        <v>0</v>
      </c>
      <c r="H43" s="28">
        <f t="shared" si="3"/>
        <v>1.2398530489449999E-4</v>
      </c>
      <c r="J43" s="2">
        <f t="shared" si="4"/>
        <v>6488.1821539573339</v>
      </c>
      <c r="L43" s="7">
        <f>+J43/payroll!F43</f>
        <v>9.8652844191008445E-4</v>
      </c>
      <c r="O43" s="2">
        <v>7443.0422257195069</v>
      </c>
      <c r="P43" s="17">
        <f t="shared" si="1"/>
        <v>-954.86007176217299</v>
      </c>
      <c r="R43" s="28">
        <v>1.2399409632388338E-4</v>
      </c>
      <c r="S43" s="9">
        <f t="shared" si="2"/>
        <v>-8.791429383390786E-9</v>
      </c>
      <c r="U43" s="25"/>
      <c r="X43" s="2"/>
    </row>
    <row r="44" spans="1:24">
      <c r="A44" s="1" t="s">
        <v>62</v>
      </c>
      <c r="B44" s="1" t="s">
        <v>63</v>
      </c>
      <c r="C44" s="9">
        <f>+payroll!G44</f>
        <v>1.8938321729020263E-3</v>
      </c>
      <c r="D44" s="9">
        <f>+IFR!T44</f>
        <v>1.2656432709926327E-3</v>
      </c>
      <c r="E44" s="9">
        <f>+claims!R44</f>
        <v>5.7253748613856657E-5</v>
      </c>
      <c r="F44" s="9">
        <f>+costs!L44</f>
        <v>3.0242049023591559E-6</v>
      </c>
      <c r="H44" s="28">
        <f t="shared" si="3"/>
        <v>4.0533701572032638E-4</v>
      </c>
      <c r="J44" s="2">
        <f t="shared" si="4"/>
        <v>21211.387865463141</v>
      </c>
      <c r="L44" s="7">
        <f>+J44/payroll!F44</f>
        <v>9.268491676579074E-4</v>
      </c>
      <c r="O44" s="2">
        <v>24333.242336244639</v>
      </c>
      <c r="P44" s="17">
        <f t="shared" si="1"/>
        <v>-3121.8544707814981</v>
      </c>
      <c r="R44" s="28">
        <v>4.0536897448825758E-4</v>
      </c>
      <c r="S44" s="9">
        <f t="shared" si="2"/>
        <v>-3.1958767931204203E-8</v>
      </c>
      <c r="U44" s="25"/>
      <c r="X44" s="2"/>
    </row>
    <row r="45" spans="1:24">
      <c r="A45" s="1" t="s">
        <v>64</v>
      </c>
      <c r="B45" s="1" t="s">
        <v>518</v>
      </c>
      <c r="C45" s="9">
        <f>+payroll!G45</f>
        <v>2.1361299874948197E-2</v>
      </c>
      <c r="D45" s="9">
        <f>+IFR!T45</f>
        <v>2.5969293981934156E-2</v>
      </c>
      <c r="E45" s="9">
        <f>+claims!R45</f>
        <v>4.0077624029699653E-3</v>
      </c>
      <c r="F45" s="9">
        <f>+costs!L45</f>
        <v>6.4816279164616551E-3</v>
      </c>
      <c r="H45" s="28">
        <f t="shared" si="3"/>
        <v>1.0406465342432782E-2</v>
      </c>
      <c r="J45" s="2">
        <f t="shared" si="4"/>
        <v>544572.94578579545</v>
      </c>
      <c r="L45" s="7">
        <f>+J45/payroll!F45</f>
        <v>2.1096473001285302E-3</v>
      </c>
      <c r="O45" s="2">
        <v>624697.46495454805</v>
      </c>
      <c r="P45" s="17">
        <f t="shared" si="1"/>
        <v>-80124.519168752595</v>
      </c>
      <c r="R45" s="28">
        <v>1.04068733313376E-2</v>
      </c>
      <c r="S45" s="9">
        <f t="shared" si="2"/>
        <v>-4.0798890481828776E-7</v>
      </c>
      <c r="U45" s="25"/>
      <c r="X45" s="2"/>
    </row>
    <row r="46" spans="1:24">
      <c r="A46" s="1" t="s">
        <v>538</v>
      </c>
      <c r="B46" s="1" t="s">
        <v>539</v>
      </c>
      <c r="C46" s="9">
        <f>+payroll!G46</f>
        <v>4.3355522020283222E-5</v>
      </c>
      <c r="D46" s="9">
        <f>+IFR!T46</f>
        <v>4.5653823036458442E-5</v>
      </c>
      <c r="E46" s="9">
        <f>+claims!R46</f>
        <v>0</v>
      </c>
      <c r="F46" s="9">
        <f>+costs!L46</f>
        <v>0</v>
      </c>
      <c r="H46" s="28">
        <f t="shared" si="3"/>
        <v>1.1126168132092709E-5</v>
      </c>
      <c r="J46" s="2">
        <f t="shared" si="4"/>
        <v>582.23517357963135</v>
      </c>
      <c r="L46" s="7">
        <f>+J46/payroll!F46</f>
        <v>1.1113106786040628E-3</v>
      </c>
      <c r="O46" s="2">
        <v>667.91621423199683</v>
      </c>
      <c r="P46" s="17">
        <f t="shared" si="1"/>
        <v>-85.681040652365482</v>
      </c>
      <c r="R46" s="28">
        <v>1.1126857122694866E-5</v>
      </c>
      <c r="S46" s="9">
        <f t="shared" si="2"/>
        <v>-6.889906021573407E-10</v>
      </c>
      <c r="U46" s="25"/>
      <c r="X46" s="2"/>
    </row>
    <row r="47" spans="1:24">
      <c r="A47" s="1" t="s">
        <v>65</v>
      </c>
      <c r="B47" s="1" t="s">
        <v>66</v>
      </c>
      <c r="C47" s="9">
        <f>+payroll!G47</f>
        <v>9.4212808870472019E-4</v>
      </c>
      <c r="D47" s="9">
        <f>+IFR!T47</f>
        <v>8.6352256235793759E-4</v>
      </c>
      <c r="E47" s="9">
        <f>+claims!R47</f>
        <v>0</v>
      </c>
      <c r="F47" s="9">
        <f>+costs!L47</f>
        <v>0</v>
      </c>
      <c r="H47" s="28">
        <f t="shared" si="3"/>
        <v>2.2570633138283222E-4</v>
      </c>
      <c r="J47" s="2">
        <f t="shared" si="4"/>
        <v>11811.269025465244</v>
      </c>
      <c r="L47" s="7">
        <f>+J47/payroll!F47</f>
        <v>1.0374521582058069E-3</v>
      </c>
      <c r="O47" s="2">
        <v>13549.469921630685</v>
      </c>
      <c r="P47" s="17">
        <f t="shared" si="1"/>
        <v>-1738.200896165441</v>
      </c>
      <c r="R47" s="28">
        <v>2.2572144932817814E-4</v>
      </c>
      <c r="S47" s="9">
        <f t="shared" si="2"/>
        <v>-1.5117945345919205E-8</v>
      </c>
      <c r="U47" s="25"/>
      <c r="X47" s="2"/>
    </row>
    <row r="48" spans="1:24">
      <c r="A48" s="1" t="s">
        <v>67</v>
      </c>
      <c r="B48" s="1" t="s">
        <v>68</v>
      </c>
      <c r="C48" s="9">
        <f>+payroll!G48</f>
        <v>2.446450303992541E-3</v>
      </c>
      <c r="D48" s="9">
        <f>+IFR!T48</f>
        <v>1.9300784583202255E-3</v>
      </c>
      <c r="E48" s="9">
        <f>+claims!R48</f>
        <v>1.1450749722771331E-4</v>
      </c>
      <c r="F48" s="9">
        <f>+costs!L48</f>
        <v>1.416364654086447E-4</v>
      </c>
      <c r="H48" s="28">
        <f t="shared" si="3"/>
        <v>6.4922409911843959E-4</v>
      </c>
      <c r="J48" s="2">
        <f t="shared" si="4"/>
        <v>33974.060211438366</v>
      </c>
      <c r="L48" s="7">
        <f>+J48/payroll!F48</f>
        <v>1.1491918121142141E-3</v>
      </c>
      <c r="O48" s="2">
        <v>38973.731576221428</v>
      </c>
      <c r="P48" s="17">
        <f t="shared" si="1"/>
        <v>-4999.671364783062</v>
      </c>
      <c r="R48" s="28">
        <v>6.49265781465592E-4</v>
      </c>
      <c r="S48" s="9">
        <f t="shared" si="2"/>
        <v>-4.1682347152408733E-8</v>
      </c>
      <c r="U48" s="25"/>
      <c r="X48" s="2"/>
    </row>
    <row r="49" spans="1:25">
      <c r="A49" s="1" t="s">
        <v>69</v>
      </c>
      <c r="B49" s="1" t="s">
        <v>70</v>
      </c>
      <c r="C49" s="9">
        <f>+payroll!G49</f>
        <v>8.5379785444553293E-5</v>
      </c>
      <c r="D49" s="9">
        <f>+IFR!T49</f>
        <v>5.9671152622024331E-5</v>
      </c>
      <c r="E49" s="9">
        <f>+claims!R49</f>
        <v>0</v>
      </c>
      <c r="F49" s="9">
        <f>+costs!L49</f>
        <v>0</v>
      </c>
      <c r="H49" s="28">
        <f t="shared" si="3"/>
        <v>1.8131367258322203E-5</v>
      </c>
      <c r="J49" s="2">
        <f t="shared" si="4"/>
        <v>948.81900377139732</v>
      </c>
      <c r="L49" s="7">
        <f>+J49/payroll!F49</f>
        <v>9.1962291508896862E-4</v>
      </c>
      <c r="O49" s="2">
        <v>1088.4621976055778</v>
      </c>
      <c r="P49" s="17">
        <f t="shared" si="1"/>
        <v>-139.64319383418047</v>
      </c>
      <c r="R49" s="28">
        <v>1.8132758418116478E-5</v>
      </c>
      <c r="S49" s="9">
        <f t="shared" si="2"/>
        <v>-1.3911597942749807E-9</v>
      </c>
      <c r="U49" s="25"/>
      <c r="X49" s="2"/>
    </row>
    <row r="50" spans="1:25">
      <c r="A50" s="1" t="s">
        <v>71</v>
      </c>
      <c r="B50" s="1" t="s">
        <v>72</v>
      </c>
      <c r="C50" s="9">
        <f>+payroll!G50</f>
        <v>1.242279862168137E-4</v>
      </c>
      <c r="D50" s="9">
        <f>+IFR!T50</f>
        <v>7.8391514228933918E-5</v>
      </c>
      <c r="E50" s="9">
        <f>+claims!R50</f>
        <v>0</v>
      </c>
      <c r="F50" s="9">
        <f>+costs!L50</f>
        <v>0</v>
      </c>
      <c r="H50" s="28">
        <f t="shared" si="3"/>
        <v>2.5327437555718454E-5</v>
      </c>
      <c r="J50" s="2">
        <f t="shared" si="4"/>
        <v>1325.3911703028839</v>
      </c>
      <c r="L50" s="7">
        <f>+J50/payroll!F50</f>
        <v>8.8288898149734214E-4</v>
      </c>
      <c r="O50" s="2">
        <v>1520.4621012659952</v>
      </c>
      <c r="P50" s="17">
        <f t="shared" si="1"/>
        <v>-195.07093096311132</v>
      </c>
      <c r="R50" s="28">
        <v>2.532947127314802E-5</v>
      </c>
      <c r="S50" s="9">
        <f t="shared" si="2"/>
        <v>-2.0337174295655157E-9</v>
      </c>
      <c r="U50" s="25"/>
      <c r="X50" s="2"/>
    </row>
    <row r="51" spans="1:25">
      <c r="A51" s="1" t="s">
        <v>73</v>
      </c>
      <c r="B51" s="1" t="s">
        <v>74</v>
      </c>
      <c r="C51" s="9">
        <f>+payroll!G51</f>
        <v>6.7171214397842508E-5</v>
      </c>
      <c r="D51" s="9">
        <f>+IFR!T51</f>
        <v>5.7675231715405285E-5</v>
      </c>
      <c r="E51" s="9">
        <f>+claims!R51</f>
        <v>0</v>
      </c>
      <c r="F51" s="9">
        <f>+costs!L51</f>
        <v>0</v>
      </c>
      <c r="H51" s="28">
        <f t="shared" si="3"/>
        <v>1.5605805764155973E-5</v>
      </c>
      <c r="J51" s="2">
        <f t="shared" si="4"/>
        <v>816.65573628486425</v>
      </c>
      <c r="L51" s="7">
        <f>+J51/payroll!F51</f>
        <v>1.0060910507235653E-3</v>
      </c>
      <c r="O51" s="2">
        <v>936.84078703175271</v>
      </c>
      <c r="P51" s="17">
        <f t="shared" si="1"/>
        <v>-120.18505074688846</v>
      </c>
      <c r="R51" s="28">
        <v>1.5606888052570278E-5</v>
      </c>
      <c r="S51" s="9">
        <f t="shared" si="2"/>
        <v>-1.0822884143049855E-9</v>
      </c>
      <c r="U51" s="25"/>
      <c r="X51" s="2"/>
    </row>
    <row r="52" spans="1:25">
      <c r="A52" s="1" t="s">
        <v>75</v>
      </c>
      <c r="B52" s="1" t="s">
        <v>76</v>
      </c>
      <c r="C52" s="9">
        <f>+payroll!G52</f>
        <v>1.766916528574047E-4</v>
      </c>
      <c r="D52" s="9">
        <f>+IFR!T52</f>
        <v>1.4533516026932875E-4</v>
      </c>
      <c r="E52" s="9">
        <f>+claims!R52</f>
        <v>0</v>
      </c>
      <c r="F52" s="9">
        <f>+costs!L52</f>
        <v>0</v>
      </c>
      <c r="H52" s="28">
        <f t="shared" si="3"/>
        <v>4.0253351640841685E-5</v>
      </c>
      <c r="J52" s="2">
        <f t="shared" si="4"/>
        <v>2106.4680042147784</v>
      </c>
      <c r="L52" s="7">
        <f>+J52/payroll!F52</f>
        <v>9.8655272964202944E-4</v>
      </c>
      <c r="O52" s="2">
        <v>2416.4750464136282</v>
      </c>
      <c r="P52" s="17">
        <f t="shared" si="1"/>
        <v>-310.00704219884983</v>
      </c>
      <c r="R52" s="28">
        <v>4.0256205807069346E-5</v>
      </c>
      <c r="S52" s="9">
        <f t="shared" si="2"/>
        <v>-2.8541662276616777E-9</v>
      </c>
      <c r="U52" s="25"/>
      <c r="X52" s="2"/>
    </row>
    <row r="53" spans="1:25">
      <c r="A53" s="1" t="s">
        <v>77</v>
      </c>
      <c r="B53" s="1" t="s">
        <v>78</v>
      </c>
      <c r="C53" s="9">
        <f>+payroll!G53</f>
        <v>7.5609926894936184E-5</v>
      </c>
      <c r="D53" s="9">
        <f>+IFR!T53</f>
        <v>5.5404011373390511E-5</v>
      </c>
      <c r="E53" s="9">
        <f>+claims!R53</f>
        <v>0</v>
      </c>
      <c r="F53" s="9">
        <f>+costs!L53</f>
        <v>0</v>
      </c>
      <c r="H53" s="28">
        <f t="shared" si="3"/>
        <v>1.6376742283540837E-5</v>
      </c>
      <c r="J53" s="2">
        <f t="shared" si="4"/>
        <v>856.99903802665597</v>
      </c>
      <c r="L53" s="7">
        <f>+J53/payroll!F53</f>
        <v>9.3795712179838833E-4</v>
      </c>
      <c r="O53" s="2">
        <v>983.12690622219429</v>
      </c>
      <c r="P53" s="17">
        <f t="shared" si="1"/>
        <v>-126.12786819553833</v>
      </c>
      <c r="R53" s="28">
        <v>1.6377971347184204E-5</v>
      </c>
      <c r="S53" s="9">
        <f t="shared" si="2"/>
        <v>-1.2290636433674295E-9</v>
      </c>
      <c r="U53" s="25"/>
      <c r="X53" s="2"/>
    </row>
    <row r="54" spans="1:25">
      <c r="A54" s="1" t="s">
        <v>79</v>
      </c>
      <c r="B54" s="1" t="s">
        <v>80</v>
      </c>
      <c r="C54" s="9">
        <f>+payroll!G54</f>
        <v>7.8194428043425819E-4</v>
      </c>
      <c r="D54" s="9">
        <f>+IFR!T54</f>
        <v>5.8996669005304783E-4</v>
      </c>
      <c r="E54" s="9">
        <f>+claims!R54</f>
        <v>5.7253748613856657E-5</v>
      </c>
      <c r="F54" s="9">
        <f>+costs!L54</f>
        <v>1.9186776224458776E-5</v>
      </c>
      <c r="H54" s="28">
        <f t="shared" si="3"/>
        <v>1.91588999337667E-4</v>
      </c>
      <c r="J54" s="2">
        <f t="shared" si="4"/>
        <v>10025.900468244419</v>
      </c>
      <c r="L54" s="7">
        <f>+J54/payroll!F54</f>
        <v>1.0610333887260404E-3</v>
      </c>
      <c r="O54" s="2">
        <v>11501.411946742146</v>
      </c>
      <c r="P54" s="17">
        <f t="shared" si="1"/>
        <v>-1475.5114784977268</v>
      </c>
      <c r="R54" s="28">
        <v>1.9160272608115551E-4</v>
      </c>
      <c r="S54" s="9">
        <f t="shared" si="2"/>
        <v>-1.3726743488509836E-8</v>
      </c>
      <c r="U54" s="25"/>
      <c r="X54" s="2"/>
    </row>
    <row r="55" spans="1:25">
      <c r="A55" s="1" t="s">
        <v>81</v>
      </c>
      <c r="B55" s="1" t="s">
        <v>82</v>
      </c>
      <c r="C55" s="9">
        <f>+payroll!G55</f>
        <v>5.1557841468682054E-5</v>
      </c>
      <c r="D55" s="9">
        <f>+IFR!T55</f>
        <v>4.3589077270990474E-5</v>
      </c>
      <c r="E55" s="9">
        <f>+claims!R55</f>
        <v>0</v>
      </c>
      <c r="F55" s="9">
        <f>+costs!L55</f>
        <v>0</v>
      </c>
      <c r="H55" s="28">
        <f t="shared" si="3"/>
        <v>1.1893364842459066E-5</v>
      </c>
      <c r="J55" s="2">
        <f t="shared" si="4"/>
        <v>622.38277017593236</v>
      </c>
      <c r="L55" s="7">
        <f>+J55/payroll!F55</f>
        <v>9.9895127036648602E-4</v>
      </c>
      <c r="O55" s="2">
        <v>713.97758589387479</v>
      </c>
      <c r="P55" s="17">
        <f t="shared" si="1"/>
        <v>-91.594815717942424</v>
      </c>
      <c r="R55" s="28">
        <v>1.1894196334464686E-5</v>
      </c>
      <c r="S55" s="9">
        <f t="shared" si="2"/>
        <v>-8.3149200561958778E-10</v>
      </c>
      <c r="U55" s="25"/>
      <c r="X55" s="2"/>
    </row>
    <row r="56" spans="1:25">
      <c r="A56" s="1" t="s">
        <v>83</v>
      </c>
      <c r="B56" s="11" t="s">
        <v>542</v>
      </c>
      <c r="C56" s="9">
        <f>+payroll!G56</f>
        <v>4.2406739274754586E-2</v>
      </c>
      <c r="D56" s="9">
        <f>+IFR!T56</f>
        <v>3.0040674390381982E-3</v>
      </c>
      <c r="E56" s="9">
        <f>+claims!R56</f>
        <v>1.6769321633479595E-2</v>
      </c>
      <c r="F56" s="9">
        <f>+costs!L56</f>
        <v>1.277097472922758E-2</v>
      </c>
      <c r="H56" s="28">
        <f>(C56*$C$3)+(D56*$D$3)+(E56*$E$3)+(F56*$F$3)</f>
        <v>1.5854333921782586E-2</v>
      </c>
      <c r="J56" s="2">
        <f t="shared" si="4"/>
        <v>829661.27721119393</v>
      </c>
      <c r="L56" s="7">
        <f>+J56/payroll!F56</f>
        <v>1.6190020909233667E-3</v>
      </c>
      <c r="O56" s="2">
        <v>951755.81165135745</v>
      </c>
      <c r="P56" s="17">
        <f>+J56-O56</f>
        <v>-122094.53444016352</v>
      </c>
      <c r="R56" s="28">
        <v>1.5855358361252101E-2</v>
      </c>
      <c r="S56" s="9">
        <f>+H56-R56</f>
        <v>-1.0244394695151093E-6</v>
      </c>
      <c r="U56" s="25"/>
      <c r="X56" s="2"/>
      <c r="Y56" s="57"/>
    </row>
    <row r="57" spans="1:25">
      <c r="A57" s="1" t="s">
        <v>84</v>
      </c>
      <c r="B57" s="1" t="s">
        <v>85</v>
      </c>
      <c r="C57" s="9">
        <f>+payroll!G57</f>
        <v>2.0184382667642422E-3</v>
      </c>
      <c r="D57" s="9">
        <f>+IFR!T57</f>
        <v>2.3417887639545385E-3</v>
      </c>
      <c r="E57" s="9">
        <f>+claims!R57</f>
        <v>2.2901499445542663E-4</v>
      </c>
      <c r="F57" s="9">
        <f>+costs!L57</f>
        <v>3.2259974623427269E-4</v>
      </c>
      <c r="H57" s="28">
        <f t="shared" si="3"/>
        <v>7.7294047574872531E-4</v>
      </c>
      <c r="J57" s="2">
        <f t="shared" si="4"/>
        <v>40448.169281766524</v>
      </c>
      <c r="L57" s="7">
        <f>+J57/payroll!F57</f>
        <v>1.6583067468498131E-3</v>
      </c>
      <c r="O57" s="2">
        <v>46399.760220004522</v>
      </c>
      <c r="P57" s="17">
        <f t="shared" si="1"/>
        <v>-5951.5909382379978</v>
      </c>
      <c r="R57" s="28">
        <v>7.7297644748591647E-4</v>
      </c>
      <c r="S57" s="9">
        <f t="shared" si="2"/>
        <v>-3.5971737191156303E-8</v>
      </c>
      <c r="U57" s="25"/>
      <c r="X57" s="2"/>
    </row>
    <row r="58" spans="1:25">
      <c r="A58" s="1" t="s">
        <v>86</v>
      </c>
      <c r="B58" s="1" t="s">
        <v>87</v>
      </c>
      <c r="C58" s="9">
        <f>+payroll!G58</f>
        <v>5.8878668171741685E-2</v>
      </c>
      <c r="D58" s="9">
        <f>+IFR!T58</f>
        <v>5.6509223898406291E-2</v>
      </c>
      <c r="E58" s="9">
        <f>+claims!R58</f>
        <v>8.7327033412082422E-2</v>
      </c>
      <c r="F58" s="9">
        <f>+costs!L58</f>
        <v>7.2155812636655797E-2</v>
      </c>
      <c r="H58" s="28">
        <f>(C58*$C$3)+(D58*$D$3)+(E58*$E$3)+(F58*$F$3)</f>
        <v>7.081602910257434E-2</v>
      </c>
      <c r="J58" s="2">
        <f t="shared" si="4"/>
        <v>3705820.5940487068</v>
      </c>
      <c r="L58" s="7">
        <f>+J58/payroll!F58</f>
        <v>5.2084425924461362E-3</v>
      </c>
      <c r="O58" s="2">
        <v>4251052.8671980305</v>
      </c>
      <c r="P58" s="17">
        <f t="shared" si="1"/>
        <v>-545232.27314932365</v>
      </c>
      <c r="R58" s="28">
        <v>7.0818550091232196E-2</v>
      </c>
      <c r="S58" s="9">
        <f t="shared" si="2"/>
        <v>-2.5209886578558827E-6</v>
      </c>
      <c r="U58" s="25"/>
      <c r="X58" s="2"/>
    </row>
    <row r="59" spans="1:25">
      <c r="A59" s="1" t="s">
        <v>88</v>
      </c>
      <c r="B59" s="11" t="s">
        <v>540</v>
      </c>
      <c r="C59" s="9">
        <f>+payroll!G59</f>
        <v>4.1008626493837217E-4</v>
      </c>
      <c r="D59" s="9">
        <f>+IFR!T59</f>
        <v>3.8009675380303682E-4</v>
      </c>
      <c r="E59" s="9">
        <f>+claims!R59</f>
        <v>0</v>
      </c>
      <c r="F59" s="9">
        <f>+costs!L59</f>
        <v>0</v>
      </c>
      <c r="H59" s="28">
        <f t="shared" si="3"/>
        <v>9.8772877342676125E-5</v>
      </c>
      <c r="J59" s="2">
        <f t="shared" si="4"/>
        <v>5168.8094860522169</v>
      </c>
      <c r="L59" s="7">
        <f>+J59/payroll!F59</f>
        <v>1.0430299291294938E-3</v>
      </c>
      <c r="O59" s="2">
        <v>5929.4729486468168</v>
      </c>
      <c r="P59" s="17">
        <f t="shared" si="1"/>
        <v>-760.66346259459988</v>
      </c>
      <c r="R59" s="28">
        <v>9.877945303115645E-5</v>
      </c>
      <c r="S59" s="9">
        <f t="shared" si="2"/>
        <v>-6.5756884803252515E-9</v>
      </c>
      <c r="U59" s="25"/>
      <c r="X59" s="2"/>
    </row>
    <row r="60" spans="1:25">
      <c r="A60" s="1" t="s">
        <v>89</v>
      </c>
      <c r="B60" s="1" t="s">
        <v>90</v>
      </c>
      <c r="C60" s="9">
        <f>+payroll!G60</f>
        <v>1.301605179453077E-4</v>
      </c>
      <c r="D60" s="9">
        <f>+IFR!T60</f>
        <v>1.3007898322448211E-4</v>
      </c>
      <c r="E60" s="9">
        <f>+claims!R60</f>
        <v>0</v>
      </c>
      <c r="F60" s="9">
        <f>+costs!L60</f>
        <v>0</v>
      </c>
      <c r="H60" s="28">
        <f t="shared" si="3"/>
        <v>3.2529937646223726E-5</v>
      </c>
      <c r="J60" s="2">
        <f t="shared" si="4"/>
        <v>1702.2998095231226</v>
      </c>
      <c r="L60" s="7">
        <f>+J60/payroll!F60</f>
        <v>1.0822765572139419E-3</v>
      </c>
      <c r="O60" s="2">
        <v>1952.8119592792284</v>
      </c>
      <c r="P60" s="17">
        <f t="shared" si="1"/>
        <v>-250.51214975610583</v>
      </c>
      <c r="R60" s="28">
        <v>3.2532014039177786E-5</v>
      </c>
      <c r="S60" s="9">
        <f t="shared" si="2"/>
        <v>-2.0763929540600773E-9</v>
      </c>
      <c r="U60" s="25"/>
      <c r="X60" s="2"/>
    </row>
    <row r="61" spans="1:25">
      <c r="A61" s="1" t="s">
        <v>91</v>
      </c>
      <c r="B61" s="1" t="s">
        <v>92</v>
      </c>
      <c r="C61" s="9">
        <f>+payroll!G61</f>
        <v>1.8649426459678127E-4</v>
      </c>
      <c r="D61" s="9">
        <f>+IFR!T61</f>
        <v>1.5719597761096142E-4</v>
      </c>
      <c r="E61" s="9">
        <f>+claims!R61</f>
        <v>5.7253748613856657E-5</v>
      </c>
      <c r="F61" s="9">
        <f>+costs!L61</f>
        <v>1.6732503821886706E-6</v>
      </c>
      <c r="H61" s="28">
        <f t="shared" si="3"/>
        <v>5.2553292797359535E-5</v>
      </c>
      <c r="J61" s="2">
        <f t="shared" si="4"/>
        <v>2750.1270150495743</v>
      </c>
      <c r="L61" s="7">
        <f>+J61/payroll!F61</f>
        <v>1.2203059845522822E-3</v>
      </c>
      <c r="O61" s="2">
        <v>3154.8798271212081</v>
      </c>
      <c r="P61" s="17">
        <f t="shared" si="1"/>
        <v>-404.7528120716338</v>
      </c>
      <c r="R61" s="28">
        <v>5.2557336276098884E-5</v>
      </c>
      <c r="S61" s="9">
        <f t="shared" si="2"/>
        <v>-4.0434787393486349E-9</v>
      </c>
      <c r="U61" s="25"/>
      <c r="X61" s="2"/>
    </row>
    <row r="62" spans="1:25">
      <c r="A62" s="1" t="s">
        <v>478</v>
      </c>
      <c r="B62" s="1" t="s">
        <v>479</v>
      </c>
      <c r="C62" s="9">
        <f>+payroll!G62</f>
        <v>6.4479086406827625E-4</v>
      </c>
      <c r="D62" s="9">
        <f>+IFR!T62</f>
        <v>7.4438673169043566E-4</v>
      </c>
      <c r="E62" s="9">
        <f>+claims!R62</f>
        <v>5.7253748613856657E-5</v>
      </c>
      <c r="F62" s="9">
        <f>+costs!L62</f>
        <v>3.8834764179483428E-6</v>
      </c>
      <c r="H62" s="28">
        <f t="shared" si="3"/>
        <v>1.845653476126865E-4</v>
      </c>
      <c r="J62" s="2">
        <f t="shared" si="4"/>
        <v>9658.3510089241663</v>
      </c>
      <c r="L62" s="7">
        <f>+J62/payroll!F62</f>
        <v>1.2395543630232689E-3</v>
      </c>
      <c r="O62" s="2">
        <v>11079.649244729753</v>
      </c>
      <c r="P62" s="17">
        <f t="shared" si="1"/>
        <v>-1421.298235805587</v>
      </c>
      <c r="R62" s="28">
        <v>1.8457655539540603E-4</v>
      </c>
      <c r="S62" s="9">
        <f t="shared" si="2"/>
        <v>-1.1207782719534643E-8</v>
      </c>
      <c r="U62" s="25"/>
      <c r="X62" s="2"/>
    </row>
    <row r="63" spans="1:25">
      <c r="A63" s="1" t="s">
        <v>93</v>
      </c>
      <c r="B63" s="1" t="s">
        <v>480</v>
      </c>
      <c r="C63" s="9">
        <f>+payroll!G63</f>
        <v>4.3908500236475718E-4</v>
      </c>
      <c r="D63" s="9">
        <f>+IFR!T63</f>
        <v>3.3905419630945695E-4</v>
      </c>
      <c r="E63" s="9">
        <f>+claims!R63</f>
        <v>0</v>
      </c>
      <c r="F63" s="9">
        <f>+costs!L63</f>
        <v>0</v>
      </c>
      <c r="H63" s="28">
        <f t="shared" si="3"/>
        <v>9.7267399834276774E-5</v>
      </c>
      <c r="J63" s="2">
        <f t="shared" si="4"/>
        <v>5090.027469816564</v>
      </c>
      <c r="L63" s="7">
        <f>+J63/payroll!F63</f>
        <v>9.5929679126652853E-4</v>
      </c>
      <c r="O63" s="2">
        <v>5839.1356022871023</v>
      </c>
      <c r="P63" s="17">
        <f t="shared" si="1"/>
        <v>-749.10813247053829</v>
      </c>
      <c r="R63" s="28">
        <v>9.727451764499618E-5</v>
      </c>
      <c r="S63" s="9">
        <f t="shared" si="2"/>
        <v>-7.117810719406599E-9</v>
      </c>
      <c r="U63" s="25"/>
      <c r="X63" s="2"/>
    </row>
    <row r="64" spans="1:25" ht="13.5" customHeight="1">
      <c r="A64" s="1" t="s">
        <v>94</v>
      </c>
      <c r="B64" s="1" t="s">
        <v>95</v>
      </c>
      <c r="C64" s="9">
        <f>+payroll!G64</f>
        <v>1.6629372422031288E-3</v>
      </c>
      <c r="D64" s="9">
        <f>+IFR!T64</f>
        <v>9.5769791088289328E-4</v>
      </c>
      <c r="E64" s="9">
        <f>+claims!R64</f>
        <v>0</v>
      </c>
      <c r="F64" s="9">
        <f>+costs!L64</f>
        <v>9.2905045690983143E-4</v>
      </c>
      <c r="H64" s="28">
        <f t="shared" si="3"/>
        <v>8.8500966828165156E-4</v>
      </c>
      <c r="J64" s="2">
        <f t="shared" si="4"/>
        <v>46312.778282157793</v>
      </c>
      <c r="L64" s="7">
        <f>+J64/payroll!F64</f>
        <v>2.3046577715996985E-3</v>
      </c>
      <c r="O64" s="2">
        <v>53126.462697470401</v>
      </c>
      <c r="P64" s="17">
        <f t="shared" si="1"/>
        <v>-6813.6844153126076</v>
      </c>
      <c r="R64" s="28">
        <v>8.8503699606790184E-4</v>
      </c>
      <c r="S64" s="9">
        <f t="shared" si="2"/>
        <v>-2.7327786250282496E-8</v>
      </c>
      <c r="U64" s="25"/>
      <c r="X64" s="2"/>
    </row>
    <row r="65" spans="1:24" ht="13.5" customHeight="1">
      <c r="A65" s="1" t="s">
        <v>96</v>
      </c>
      <c r="B65" s="1" t="s">
        <v>97</v>
      </c>
      <c r="C65" s="9">
        <f>+payroll!G65</f>
        <v>4.6847627574638836E-3</v>
      </c>
      <c r="D65" s="9">
        <f>+IFR!T65</f>
        <v>4.3477580999655204E-3</v>
      </c>
      <c r="E65" s="9">
        <f>+claims!R65</f>
        <v>8.0155248059399328E-4</v>
      </c>
      <c r="F65" s="9">
        <f>+costs!L65</f>
        <v>1.1792125280928258E-4</v>
      </c>
      <c r="H65" s="28">
        <f t="shared" si="3"/>
        <v>1.320050730953344E-3</v>
      </c>
      <c r="J65" s="2">
        <f t="shared" si="4"/>
        <v>69078.586387133633</v>
      </c>
      <c r="L65" s="7">
        <f>+J65/payroll!F65</f>
        <v>1.2202176655230128E-3</v>
      </c>
      <c r="O65" s="2">
        <v>79244.581575216143</v>
      </c>
      <c r="P65" s="17">
        <f t="shared" si="1"/>
        <v>-10165.99518808251</v>
      </c>
      <c r="R65" s="28">
        <v>1.3201403381845431E-3</v>
      </c>
      <c r="S65" s="9">
        <f t="shared" si="2"/>
        <v>-8.9607231199126045E-8</v>
      </c>
      <c r="U65" s="25"/>
      <c r="X65" s="2"/>
    </row>
    <row r="66" spans="1:24">
      <c r="A66" s="1" t="s">
        <v>98</v>
      </c>
      <c r="B66" s="1" t="s">
        <v>99</v>
      </c>
      <c r="C66" s="9">
        <f>+payroll!G66</f>
        <v>7.1467848992176862E-3</v>
      </c>
      <c r="D66" s="9">
        <f>+IFR!T66</f>
        <v>6.7073495607423159E-3</v>
      </c>
      <c r="E66" s="9">
        <f>+claims!R66</f>
        <v>9.1605997782170652E-4</v>
      </c>
      <c r="F66" s="9">
        <f>+costs!L66</f>
        <v>2.0304384305849534E-3</v>
      </c>
      <c r="H66" s="28">
        <f t="shared" si="3"/>
        <v>3.0874388625192284E-3</v>
      </c>
      <c r="J66" s="2">
        <f t="shared" si="4"/>
        <v>161566.45133289666</v>
      </c>
      <c r="L66" s="7">
        <f>+J66/payroll!F66</f>
        <v>1.8707766649046398E-3</v>
      </c>
      <c r="O66" s="2">
        <v>185338.77054106962</v>
      </c>
      <c r="P66" s="17">
        <f t="shared" si="1"/>
        <v>-23772.319208172965</v>
      </c>
      <c r="R66" s="28">
        <v>3.0875699304255899E-3</v>
      </c>
      <c r="S66" s="9">
        <f t="shared" si="2"/>
        <v>-1.310679063615261E-7</v>
      </c>
      <c r="U66" s="25"/>
      <c r="X66" s="2"/>
    </row>
    <row r="67" spans="1:24">
      <c r="A67" s="1" t="s">
        <v>100</v>
      </c>
      <c r="B67" s="1" t="s">
        <v>519</v>
      </c>
      <c r="C67" s="9">
        <f>+payroll!G67</f>
        <v>6.0419655422571548E-3</v>
      </c>
      <c r="D67" s="9">
        <f>+IFR!T67</f>
        <v>5.3334906700195448E-3</v>
      </c>
      <c r="E67" s="9">
        <f>+claims!R67</f>
        <v>4.5802998891085326E-4</v>
      </c>
      <c r="F67" s="9">
        <f>+costs!L67</f>
        <v>2.6141480888473471E-4</v>
      </c>
      <c r="H67" s="28">
        <f t="shared" si="3"/>
        <v>1.6474854102020561E-3</v>
      </c>
      <c r="J67" s="2">
        <f t="shared" si="4"/>
        <v>86213.325413633211</v>
      </c>
      <c r="L67" s="7">
        <f>+J67/payroll!F67</f>
        <v>1.1808034731079272E-3</v>
      </c>
      <c r="O67" s="2">
        <v>98900.583458257199</v>
      </c>
      <c r="P67" s="17">
        <f t="shared" si="1"/>
        <v>-12687.258044623988</v>
      </c>
      <c r="R67" s="28">
        <v>1.6475908774823535E-3</v>
      </c>
      <c r="S67" s="9">
        <f t="shared" si="2"/>
        <v>-1.0546728029738224E-7</v>
      </c>
      <c r="U67" s="25"/>
      <c r="X67" s="2"/>
    </row>
    <row r="68" spans="1:24">
      <c r="A68" s="1" t="s">
        <v>101</v>
      </c>
      <c r="B68" s="1" t="s">
        <v>102</v>
      </c>
      <c r="C68" s="9">
        <f>+payroll!G68</f>
        <v>1.7290323887127706E-4</v>
      </c>
      <c r="D68" s="9">
        <f>+IFR!T68</f>
        <v>1.9883501721456551E-4</v>
      </c>
      <c r="E68" s="9">
        <f>+claims!R68</f>
        <v>0</v>
      </c>
      <c r="F68" s="9">
        <f>+costs!L68</f>
        <v>0</v>
      </c>
      <c r="H68" s="28">
        <f t="shared" si="3"/>
        <v>4.6467282010730321E-5</v>
      </c>
      <c r="J68" s="2">
        <f t="shared" si="4"/>
        <v>2431.6445415967773</v>
      </c>
      <c r="L68" s="7">
        <f>+J68/payroll!F68</f>
        <v>1.1638002075540226E-3</v>
      </c>
      <c r="O68" s="2">
        <v>2789.4735478256384</v>
      </c>
      <c r="P68" s="17">
        <f t="shared" si="1"/>
        <v>-357.82900622886109</v>
      </c>
      <c r="R68" s="28">
        <v>4.6470010688214447E-5</v>
      </c>
      <c r="S68" s="9">
        <f t="shared" si="2"/>
        <v>-2.728677484126489E-9</v>
      </c>
      <c r="U68" s="25"/>
      <c r="X68" s="2"/>
    </row>
    <row r="69" spans="1:24">
      <c r="A69" s="1" t="s">
        <v>103</v>
      </c>
      <c r="B69" s="1" t="s">
        <v>104</v>
      </c>
      <c r="C69" s="9">
        <f>+payroll!G69</f>
        <v>2.6167651092168508E-4</v>
      </c>
      <c r="D69" s="9">
        <f>+IFR!T69</f>
        <v>1.9989033171691578E-4</v>
      </c>
      <c r="E69" s="9">
        <f>+claims!R69</f>
        <v>5.7253748613856657E-5</v>
      </c>
      <c r="F69" s="9">
        <f>+costs!L69</f>
        <v>1.4999728588403844E-4</v>
      </c>
      <c r="H69" s="28">
        <f t="shared" si="3"/>
        <v>1.5628228915232667E-4</v>
      </c>
      <c r="J69" s="2">
        <f t="shared" ref="J69:J100" si="5">(+H69*$J$272)</f>
        <v>8178.291454140759</v>
      </c>
      <c r="L69" s="7">
        <f>+J69/payroll!F69</f>
        <v>2.5863024560314591E-3</v>
      </c>
      <c r="O69" s="2">
        <v>9381.5351582746898</v>
      </c>
      <c r="P69" s="17">
        <f t="shared" ref="P69:P131" si="6">+J69-O69</f>
        <v>-1203.2437041339308</v>
      </c>
      <c r="R69" s="28">
        <v>1.562875688198263E-4</v>
      </c>
      <c r="S69" s="9">
        <f t="shared" ref="S69:S131" si="7">+H69-R69</f>
        <v>-5.2796674996323512E-9</v>
      </c>
      <c r="U69" s="25"/>
      <c r="X69" s="2"/>
    </row>
    <row r="70" spans="1:24">
      <c r="A70" s="1" t="s">
        <v>105</v>
      </c>
      <c r="B70" s="1" t="s">
        <v>106</v>
      </c>
      <c r="C70" s="9">
        <f>+payroll!G70</f>
        <v>3.1662504179398769E-3</v>
      </c>
      <c r="D70" s="9">
        <f>+IFR!T70</f>
        <v>2.914296881479574E-3</v>
      </c>
      <c r="E70" s="9">
        <f>+claims!R70</f>
        <v>2.1183886987126963E-3</v>
      </c>
      <c r="F70" s="9">
        <f>+costs!L70</f>
        <v>1.241721631017705E-3</v>
      </c>
      <c r="H70" s="28">
        <f t="shared" ref="H70:H132" si="8">(C70*$C$3)+(D70*$D$3)+(E70*$E$3)+(F70*$F$3)</f>
        <v>1.8228596958449587E-3</v>
      </c>
      <c r="J70" s="2">
        <f t="shared" si="5"/>
        <v>95390.705840608091</v>
      </c>
      <c r="L70" s="7">
        <f>+J70/payroll!F70</f>
        <v>2.493114767853528E-3</v>
      </c>
      <c r="O70" s="2">
        <v>109426.86190503501</v>
      </c>
      <c r="P70" s="17">
        <f t="shared" si="6"/>
        <v>-14036.156064426919</v>
      </c>
      <c r="R70" s="28">
        <v>1.8229487948607697E-3</v>
      </c>
      <c r="S70" s="9">
        <f t="shared" si="7"/>
        <v>-8.9099015810950241E-8</v>
      </c>
      <c r="U70" s="25"/>
      <c r="X70" s="2"/>
    </row>
    <row r="71" spans="1:24">
      <c r="A71" s="1" t="s">
        <v>107</v>
      </c>
      <c r="B71" s="1" t="s">
        <v>108</v>
      </c>
      <c r="C71" s="9">
        <f>+payroll!G71</f>
        <v>1.5173097942690656E-4</v>
      </c>
      <c r="D71" s="9">
        <f>+IFR!T71</f>
        <v>1.0759619600049755E-4</v>
      </c>
      <c r="E71" s="9">
        <f>+claims!R71</f>
        <v>0</v>
      </c>
      <c r="F71" s="9">
        <f>+costs!L71</f>
        <v>0</v>
      </c>
      <c r="H71" s="28">
        <f t="shared" si="8"/>
        <v>3.2415896928425514E-5</v>
      </c>
      <c r="J71" s="2">
        <f t="shared" si="5"/>
        <v>1696.3320301102926</v>
      </c>
      <c r="L71" s="7">
        <f>+J71/payroll!F71</f>
        <v>9.2516260501201357E-4</v>
      </c>
      <c r="O71" s="2">
        <v>1945.990050134423</v>
      </c>
      <c r="P71" s="17">
        <f t="shared" si="6"/>
        <v>-249.65802002413034</v>
      </c>
      <c r="R71" s="28">
        <v>3.2418367436893195E-5</v>
      </c>
      <c r="S71" s="9">
        <f t="shared" si="7"/>
        <v>-2.4705084676813387E-9</v>
      </c>
      <c r="U71" s="25"/>
      <c r="X71" s="2"/>
    </row>
    <row r="72" spans="1:24">
      <c r="A72" s="1" t="s">
        <v>109</v>
      </c>
      <c r="B72" s="1" t="s">
        <v>556</v>
      </c>
      <c r="C72" s="9">
        <f>+payroll!G72</f>
        <v>2.2587873868334113E-4</v>
      </c>
      <c r="D72" s="9">
        <f>+IFR!T72</f>
        <v>1.8766244846142217E-4</v>
      </c>
      <c r="E72" s="9">
        <f>+claims!R72</f>
        <v>0</v>
      </c>
      <c r="F72" s="9">
        <f>+costs!L72</f>
        <v>0</v>
      </c>
      <c r="H72" s="28">
        <f t="shared" si="8"/>
        <v>5.1692648393095412E-5</v>
      </c>
      <c r="J72" s="2">
        <f t="shared" si="5"/>
        <v>2705.0892771547387</v>
      </c>
      <c r="L72" s="7">
        <f>+J72/payroll!F72</f>
        <v>9.9103209138580103E-4</v>
      </c>
      <c r="O72" s="2">
        <v>3103.1937633555704</v>
      </c>
      <c r="P72" s="17">
        <f t="shared" si="6"/>
        <v>-398.10448620083162</v>
      </c>
      <c r="R72" s="28">
        <v>5.1696294974060681E-5</v>
      </c>
      <c r="S72" s="9">
        <f t="shared" si="7"/>
        <v>-3.6465809652688383E-9</v>
      </c>
      <c r="U72" s="25"/>
      <c r="X72" s="2"/>
    </row>
    <row r="73" spans="1:24">
      <c r="A73" s="1" t="s">
        <v>110</v>
      </c>
      <c r="B73" s="1" t="s">
        <v>111</v>
      </c>
      <c r="C73" s="9">
        <f>+payroll!G73</f>
        <v>4.0620451474687708E-4</v>
      </c>
      <c r="D73" s="9">
        <f>+IFR!T73</f>
        <v>3.7679316057828818E-4</v>
      </c>
      <c r="E73" s="9">
        <f>+claims!R73</f>
        <v>0</v>
      </c>
      <c r="F73" s="9">
        <f>+costs!L73</f>
        <v>0</v>
      </c>
      <c r="H73" s="28">
        <f t="shared" si="8"/>
        <v>9.7874709415645658E-5</v>
      </c>
      <c r="J73" s="2">
        <f t="shared" si="5"/>
        <v>5121.8081327839845</v>
      </c>
      <c r="L73" s="7">
        <f>+J73/payroll!F73</f>
        <v>1.0434220937546531E-3</v>
      </c>
      <c r="O73" s="2">
        <v>5875.5545140371423</v>
      </c>
      <c r="P73" s="17">
        <f t="shared" si="6"/>
        <v>-753.74638125315778</v>
      </c>
      <c r="R73" s="28">
        <v>9.7881222526494945E-5</v>
      </c>
      <c r="S73" s="9">
        <f t="shared" si="7"/>
        <v>-6.5131108492870893E-9</v>
      </c>
      <c r="U73" s="25"/>
      <c r="X73" s="2"/>
    </row>
    <row r="74" spans="1:24">
      <c r="A74" s="1" t="s">
        <v>112</v>
      </c>
      <c r="B74" s="1" t="s">
        <v>113</v>
      </c>
      <c r="C74" s="9">
        <f>+payroll!G74</f>
        <v>2.3477584288274103E-4</v>
      </c>
      <c r="D74" s="9">
        <f>+IFR!T74</f>
        <v>1.7687988724175607E-4</v>
      </c>
      <c r="E74" s="9">
        <f>+claims!R74</f>
        <v>0</v>
      </c>
      <c r="F74" s="9">
        <f>+costs!L74</f>
        <v>0</v>
      </c>
      <c r="H74" s="28">
        <f t="shared" si="8"/>
        <v>5.1456966265562141E-5</v>
      </c>
      <c r="J74" s="2">
        <f t="shared" si="5"/>
        <v>2692.755972210502</v>
      </c>
      <c r="L74" s="7">
        <f>+J74/payroll!F74</f>
        <v>9.4912859615418346E-4</v>
      </c>
      <c r="O74" s="2">
        <v>3089.056240805473</v>
      </c>
      <c r="P74" s="17">
        <f t="shared" si="6"/>
        <v>-396.30026859497093</v>
      </c>
      <c r="R74" s="28">
        <v>5.1460777119976712E-5</v>
      </c>
      <c r="S74" s="9">
        <f t="shared" si="7"/>
        <v>-3.8108544145705947E-9</v>
      </c>
      <c r="U74" s="25"/>
      <c r="X74" s="2"/>
    </row>
    <row r="75" spans="1:24">
      <c r="A75" s="1" t="s">
        <v>114</v>
      </c>
      <c r="B75" s="1" t="s">
        <v>115</v>
      </c>
      <c r="C75" s="9">
        <f>+payroll!G75</f>
        <v>1.7419069656171929E-3</v>
      </c>
      <c r="D75" s="9">
        <f>+IFR!T75</f>
        <v>1.1812410524242255E-3</v>
      </c>
      <c r="E75" s="9">
        <f>+claims!R75</f>
        <v>5.7253748613856657E-5</v>
      </c>
      <c r="F75" s="9">
        <f>+costs!L75</f>
        <v>4.9181188610281445E-6</v>
      </c>
      <c r="H75" s="28">
        <f t="shared" si="8"/>
        <v>3.7693243586387273E-4</v>
      </c>
      <c r="J75" s="2">
        <f t="shared" si="5"/>
        <v>19724.969065492325</v>
      </c>
      <c r="L75" s="7">
        <f>+J75/payroll!F75</f>
        <v>9.3707174699312397E-4</v>
      </c>
      <c r="O75" s="2">
        <v>22628.039408137258</v>
      </c>
      <c r="P75" s="17">
        <f t="shared" si="6"/>
        <v>-2903.0703426449327</v>
      </c>
      <c r="R75" s="28">
        <v>3.7696189446540104E-4</v>
      </c>
      <c r="S75" s="9">
        <f t="shared" si="7"/>
        <v>-2.9458601528303298E-8</v>
      </c>
      <c r="U75" s="25"/>
      <c r="X75" s="2"/>
    </row>
    <row r="76" spans="1:24">
      <c r="A76" s="1" t="s">
        <v>116</v>
      </c>
      <c r="B76" s="1" t="s">
        <v>117</v>
      </c>
      <c r="C76" s="9">
        <f>+payroll!G76</f>
        <v>1.0128133287510254E-4</v>
      </c>
      <c r="D76" s="9">
        <f>+IFR!T76</f>
        <v>7.696913381272265E-5</v>
      </c>
      <c r="E76" s="9">
        <f>+claims!R76</f>
        <v>0</v>
      </c>
      <c r="F76" s="9">
        <f>+costs!L76</f>
        <v>0</v>
      </c>
      <c r="H76" s="28">
        <f t="shared" si="8"/>
        <v>2.2281308335978148E-5</v>
      </c>
      <c r="J76" s="2">
        <f t="shared" si="5"/>
        <v>1165.9864629548299</v>
      </c>
      <c r="L76" s="7">
        <f>+J76/payroll!F76</f>
        <v>9.5267675620471599E-4</v>
      </c>
      <c r="O76" s="2">
        <v>1337.5874687491937</v>
      </c>
      <c r="P76" s="17">
        <f t="shared" si="6"/>
        <v>-171.6010057943638</v>
      </c>
      <c r="R76" s="28">
        <v>2.2282951568996929E-5</v>
      </c>
      <c r="S76" s="9">
        <f t="shared" si="7"/>
        <v>-1.6432330187818257E-9</v>
      </c>
      <c r="U76" s="25"/>
      <c r="X76" s="2"/>
    </row>
    <row r="77" spans="1:24">
      <c r="A77" s="1" t="s">
        <v>118</v>
      </c>
      <c r="B77" s="1" t="s">
        <v>119</v>
      </c>
      <c r="C77" s="9">
        <f>+payroll!G77</f>
        <v>2.1730031999431519E-4</v>
      </c>
      <c r="D77" s="9">
        <f>+IFR!T77</f>
        <v>1.6644145031633468E-4</v>
      </c>
      <c r="E77" s="9">
        <f>+claims!R77</f>
        <v>0</v>
      </c>
      <c r="F77" s="9">
        <f>+costs!L77</f>
        <v>0</v>
      </c>
      <c r="H77" s="28">
        <f t="shared" si="8"/>
        <v>4.7967721288831231E-5</v>
      </c>
      <c r="J77" s="2">
        <f t="shared" si="5"/>
        <v>2510.1629059751581</v>
      </c>
      <c r="L77" s="7">
        <f>+J77/payroll!F77</f>
        <v>9.559232191501838E-4</v>
      </c>
      <c r="O77" s="2">
        <v>2879.5887514599203</v>
      </c>
      <c r="P77" s="17">
        <f t="shared" si="6"/>
        <v>-369.42584548476225</v>
      </c>
      <c r="R77" s="28">
        <v>4.7971245385105524E-5</v>
      </c>
      <c r="S77" s="9">
        <f t="shared" si="7"/>
        <v>-3.5240962742932001E-9</v>
      </c>
      <c r="U77" s="25"/>
      <c r="X77" s="2"/>
    </row>
    <row r="78" spans="1:24">
      <c r="A78" s="1" t="s">
        <v>120</v>
      </c>
      <c r="B78" s="1" t="s">
        <v>486</v>
      </c>
      <c r="C78" s="9">
        <f>+payroll!G78</f>
        <v>1.464808605270419E-4</v>
      </c>
      <c r="D78" s="9">
        <f>+IFR!T78</f>
        <v>1.0472849354845868E-4</v>
      </c>
      <c r="E78" s="9">
        <f>+claims!R78</f>
        <v>0</v>
      </c>
      <c r="F78" s="9">
        <f>+costs!L78</f>
        <v>0</v>
      </c>
      <c r="H78" s="28">
        <f t="shared" si="8"/>
        <v>3.1401169259437574E-5</v>
      </c>
      <c r="J78" s="2">
        <f t="shared" si="5"/>
        <v>1643.2310762621214</v>
      </c>
      <c r="L78" s="7">
        <f>+J78/payroll!F78</f>
        <v>9.2832324655420424E-4</v>
      </c>
      <c r="O78" s="2">
        <v>1885.0734049334999</v>
      </c>
      <c r="P78" s="17">
        <f>+J78-O78</f>
        <v>-241.84232867137848</v>
      </c>
      <c r="R78" s="28">
        <v>3.1403553313352341E-5</v>
      </c>
      <c r="S78" s="9">
        <f t="shared" si="7"/>
        <v>-2.3840539147666089E-9</v>
      </c>
      <c r="U78" s="25"/>
      <c r="X78" s="2"/>
    </row>
    <row r="79" spans="1:24">
      <c r="A79" s="1" t="s">
        <v>121</v>
      </c>
      <c r="B79" s="1" t="s">
        <v>122</v>
      </c>
      <c r="C79" s="9">
        <f>+payroll!G79</f>
        <v>6.0273789957155917E-4</v>
      </c>
      <c r="D79" s="9">
        <f>+IFR!T79</f>
        <v>5.81340641077315E-4</v>
      </c>
      <c r="E79" s="9">
        <f>+claims!R79</f>
        <v>1.7176124584156996E-4</v>
      </c>
      <c r="F79" s="9">
        <f>+costs!L79</f>
        <v>3.4139794467136253E-6</v>
      </c>
      <c r="H79" s="28">
        <f t="shared" si="8"/>
        <v>1.7582239212537293E-4</v>
      </c>
      <c r="J79" s="2">
        <f t="shared" si="5"/>
        <v>9200.8299517803389</v>
      </c>
      <c r="L79" s="7">
        <f>+J79/payroll!F79</f>
        <v>1.2632228500675325E-3</v>
      </c>
      <c r="O79" s="2">
        <v>10554.924698813047</v>
      </c>
      <c r="P79" s="17">
        <f t="shared" si="6"/>
        <v>-1354.0947470327083</v>
      </c>
      <c r="R79" s="28">
        <v>1.7583513704565155E-4</v>
      </c>
      <c r="S79" s="9">
        <f t="shared" si="7"/>
        <v>-1.2744920278618148E-8</v>
      </c>
      <c r="U79" s="25"/>
      <c r="X79" s="2"/>
    </row>
    <row r="80" spans="1:24">
      <c r="A80" s="1" t="s">
        <v>471</v>
      </c>
      <c r="B80" s="1" t="s">
        <v>520</v>
      </c>
      <c r="C80" s="9">
        <f>+payroll!G80</f>
        <v>3.1964236726029588E-5</v>
      </c>
      <c r="D80" s="9">
        <f>+IFR!T80</f>
        <v>2.6910519809932536E-5</v>
      </c>
      <c r="E80" s="9">
        <f>+claims!R80</f>
        <v>0</v>
      </c>
      <c r="F80" s="9">
        <f>+costs!L80</f>
        <v>0</v>
      </c>
      <c r="H80" s="28">
        <f t="shared" si="8"/>
        <v>7.3593445669952655E-6</v>
      </c>
      <c r="J80" s="2">
        <f t="shared" si="5"/>
        <v>385.11635007899787</v>
      </c>
      <c r="L80" s="7">
        <f>+J80/payroll!F80</f>
        <v>9.9703197763998394E-4</v>
      </c>
      <c r="O80" s="2">
        <v>441.79321296251362</v>
      </c>
      <c r="P80" s="17">
        <f t="shared" si="6"/>
        <v>-56.676862883515753</v>
      </c>
      <c r="R80" s="28">
        <v>7.3598601945344158E-6</v>
      </c>
      <c r="S80" s="9">
        <f t="shared" si="7"/>
        <v>-5.1562753915031429E-10</v>
      </c>
      <c r="U80" s="25"/>
      <c r="X80" s="2"/>
    </row>
    <row r="81" spans="1:24">
      <c r="A81" s="1" t="s">
        <v>123</v>
      </c>
      <c r="B81" s="1" t="s">
        <v>481</v>
      </c>
      <c r="C81" s="9">
        <f>+payroll!G81</f>
        <v>1.0995560783338663E-3</v>
      </c>
      <c r="D81" s="9">
        <f>+IFR!T81</f>
        <v>1.0951640956238277E-3</v>
      </c>
      <c r="E81" s="9">
        <f>+claims!R81</f>
        <v>1.7176124584156996E-4</v>
      </c>
      <c r="F81" s="9">
        <f>+costs!L81</f>
        <v>0</v>
      </c>
      <c r="H81" s="28">
        <f t="shared" si="8"/>
        <v>3.0010420862094727E-4</v>
      </c>
      <c r="J81" s="2">
        <f t="shared" si="5"/>
        <v>15704.528632314505</v>
      </c>
      <c r="L81" s="7">
        <f>+J81/payroll!F81</f>
        <v>1.1819224748064276E-3</v>
      </c>
      <c r="O81" s="2">
        <v>18015.712583935554</v>
      </c>
      <c r="P81" s="17">
        <f t="shared" si="6"/>
        <v>-2311.1839516210493</v>
      </c>
      <c r="R81" s="28">
        <v>3.0012485939644943E-4</v>
      </c>
      <c r="S81" s="9">
        <f t="shared" si="7"/>
        <v>-2.0650775502161281E-8</v>
      </c>
      <c r="U81" s="25"/>
      <c r="X81" s="2"/>
    </row>
    <row r="82" spans="1:24">
      <c r="A82" s="1" t="s">
        <v>124</v>
      </c>
      <c r="B82" s="1" t="s">
        <v>125</v>
      </c>
      <c r="C82" s="9">
        <f>+payroll!G82</f>
        <v>2.376456887672507E-4</v>
      </c>
      <c r="D82" s="9">
        <f>+IFR!T82</f>
        <v>2.77639480596593E-4</v>
      </c>
      <c r="E82" s="9">
        <f>+claims!R82</f>
        <v>0</v>
      </c>
      <c r="F82" s="9">
        <f>+costs!L82</f>
        <v>0</v>
      </c>
      <c r="H82" s="28">
        <f t="shared" si="8"/>
        <v>6.441064617048046E-5</v>
      </c>
      <c r="J82" s="2">
        <f t="shared" si="5"/>
        <v>3370.6252959878802</v>
      </c>
      <c r="L82" s="7">
        <f>+J82/payroll!F82</f>
        <v>1.1737132431545729E-3</v>
      </c>
      <c r="O82" s="2">
        <v>3866.6279374546907</v>
      </c>
      <c r="P82" s="17">
        <f t="shared" si="6"/>
        <v>-496.00264146681047</v>
      </c>
      <c r="R82" s="28">
        <v>6.4414391640647833E-5</v>
      </c>
      <c r="S82" s="9">
        <f t="shared" si="7"/>
        <v>-3.7454701673733356E-9</v>
      </c>
      <c r="U82" s="25"/>
      <c r="X82" s="2"/>
    </row>
    <row r="83" spans="1:24">
      <c r="A83" s="1" t="s">
        <v>126</v>
      </c>
      <c r="B83" s="1" t="s">
        <v>521</v>
      </c>
      <c r="C83" s="9">
        <f>+payroll!G83</f>
        <v>6.7762592369963388E-4</v>
      </c>
      <c r="D83" s="9">
        <f>+IFR!T83</f>
        <v>6.5234495378979694E-4</v>
      </c>
      <c r="E83" s="9">
        <f>+claims!R83</f>
        <v>5.7253748613856657E-5</v>
      </c>
      <c r="F83" s="9">
        <f>+costs!L83</f>
        <v>2.5537044964212115E-5</v>
      </c>
      <c r="H83" s="28">
        <f t="shared" si="8"/>
        <v>1.901566489567846E-4</v>
      </c>
      <c r="J83" s="2">
        <f t="shared" si="5"/>
        <v>9950.9452129634574</v>
      </c>
      <c r="L83" s="7">
        <f>+J83/payroll!F83</f>
        <v>1.2152224718065805E-3</v>
      </c>
      <c r="O83" s="2">
        <v>11415.320435927246</v>
      </c>
      <c r="P83" s="17">
        <f t="shared" si="6"/>
        <v>-1464.3752229637885</v>
      </c>
      <c r="R83" s="28">
        <v>1.9016852232939331E-4</v>
      </c>
      <c r="S83" s="9">
        <f t="shared" si="7"/>
        <v>-1.1873372608700973E-8</v>
      </c>
      <c r="U83" s="25"/>
      <c r="X83" s="2"/>
    </row>
    <row r="84" spans="1:24">
      <c r="A84" s="1" t="s">
        <v>127</v>
      </c>
      <c r="B84" s="1" t="s">
        <v>128</v>
      </c>
      <c r="C84" s="9">
        <f>+payroll!G84</f>
        <v>6.3703075323038737E-5</v>
      </c>
      <c r="D84" s="9">
        <f>+IFR!T84</f>
        <v>5.4715762784901195E-5</v>
      </c>
      <c r="E84" s="9">
        <f>+claims!R84</f>
        <v>0</v>
      </c>
      <c r="F84" s="9">
        <f>+costs!L84</f>
        <v>0</v>
      </c>
      <c r="H84" s="28">
        <f t="shared" si="8"/>
        <v>1.4802354763492491E-5</v>
      </c>
      <c r="J84" s="2">
        <f t="shared" si="5"/>
        <v>774.61094356914941</v>
      </c>
      <c r="L84" s="7">
        <f>+J84/payroll!F84</f>
        <v>1.0062472316283485E-3</v>
      </c>
      <c r="O84" s="2">
        <v>888.60836327920572</v>
      </c>
      <c r="P84" s="17">
        <f t="shared" si="6"/>
        <v>-113.99741971005631</v>
      </c>
      <c r="R84" s="28">
        <v>1.4803381151045271E-5</v>
      </c>
      <c r="S84" s="9">
        <f t="shared" si="7"/>
        <v>-1.0263875527793921E-9</v>
      </c>
      <c r="U84" s="25"/>
      <c r="X84" s="2"/>
    </row>
    <row r="85" spans="1:24">
      <c r="A85" s="1" t="s">
        <v>557</v>
      </c>
      <c r="B85" s="1" t="s">
        <v>558</v>
      </c>
      <c r="C85" s="9">
        <f>+payroll!G85</f>
        <v>2.6547406768714026E-4</v>
      </c>
      <c r="D85" s="9">
        <f>+IFR!T85</f>
        <v>3.2276564638187633E-4</v>
      </c>
      <c r="E85" s="9">
        <f>+claims!R85</f>
        <v>0</v>
      </c>
      <c r="F85" s="9">
        <f>+costs!L85</f>
        <v>0</v>
      </c>
      <c r="H85" s="28">
        <f>(C85*$C$3)+(D85*$D$3)+(E85*$E$3)+(F85*$F$3)</f>
        <v>7.3529964258627067E-5</v>
      </c>
      <c r="J85" s="2">
        <f t="shared" si="5"/>
        <v>3847.8415025868753</v>
      </c>
      <c r="L85" s="7">
        <f>+J85/payroll!F85</f>
        <v>1.1994345077310511E-3</v>
      </c>
      <c r="O85" s="2">
        <v>4414.0622869629851</v>
      </c>
      <c r="P85" s="17">
        <f>+J85-O85</f>
        <v>-566.2207843761098</v>
      </c>
      <c r="R85" s="28">
        <v>7.3534133999407888E-5</v>
      </c>
      <c r="S85" s="9">
        <f>+H85-R85</f>
        <v>-4.1697407808201966E-9</v>
      </c>
      <c r="U85" s="25"/>
      <c r="X85" s="2"/>
    </row>
    <row r="86" spans="1:24">
      <c r="A86" s="1" t="s">
        <v>129</v>
      </c>
      <c r="B86" s="1" t="s">
        <v>130</v>
      </c>
      <c r="C86" s="9">
        <f>+payroll!G86</f>
        <v>5.7805026864616197E-5</v>
      </c>
      <c r="D86" s="9">
        <f>+IFR!T86</f>
        <v>5.391280609833032E-5</v>
      </c>
      <c r="E86" s="9">
        <f>+claims!R86</f>
        <v>0</v>
      </c>
      <c r="F86" s="9">
        <f>+costs!L86</f>
        <v>0</v>
      </c>
      <c r="H86" s="28">
        <f t="shared" si="8"/>
        <v>1.3964729120368315E-5</v>
      </c>
      <c r="J86" s="2">
        <f t="shared" si="5"/>
        <v>730.7777832277709</v>
      </c>
      <c r="L86" s="7">
        <f>+J86/payroll!F86</f>
        <v>1.0461674352283004E-3</v>
      </c>
      <c r="O86" s="2">
        <v>838.32188547018222</v>
      </c>
      <c r="P86" s="17">
        <f t="shared" si="6"/>
        <v>-107.54410224241133</v>
      </c>
      <c r="R86" s="28">
        <v>1.3965655637182809E-5</v>
      </c>
      <c r="S86" s="9">
        <f t="shared" si="7"/>
        <v>-9.2651681449450434E-10</v>
      </c>
      <c r="U86" s="25"/>
      <c r="X86" s="2"/>
    </row>
    <row r="87" spans="1:24">
      <c r="A87" s="1" t="s">
        <v>131</v>
      </c>
      <c r="B87" s="1" t="s">
        <v>132</v>
      </c>
      <c r="C87" s="9">
        <f>+payroll!G87</f>
        <v>2.8852950437986198E-5</v>
      </c>
      <c r="D87" s="9">
        <f>+IFR!T87</f>
        <v>3.1544726972427319E-5</v>
      </c>
      <c r="E87" s="9">
        <f>+claims!R87</f>
        <v>0</v>
      </c>
      <c r="F87" s="9">
        <f>+costs!L87</f>
        <v>0</v>
      </c>
      <c r="H87" s="28">
        <f t="shared" si="8"/>
        <v>7.5497096763016893E-6</v>
      </c>
      <c r="J87" s="2">
        <f t="shared" si="5"/>
        <v>395.07820407442944</v>
      </c>
      <c r="L87" s="7">
        <f>+J87/payroll!F87</f>
        <v>1.1331158387657362E-3</v>
      </c>
      <c r="O87" s="2">
        <v>453.21682680934572</v>
      </c>
      <c r="P87" s="17">
        <f t="shared" si="6"/>
        <v>-58.138622734916282</v>
      </c>
      <c r="R87" s="28">
        <v>7.5501668773040435E-6</v>
      </c>
      <c r="S87" s="9">
        <f t="shared" si="7"/>
        <v>-4.5720100235422545E-10</v>
      </c>
      <c r="U87" s="25"/>
      <c r="X87" s="2"/>
    </row>
    <row r="88" spans="1:24">
      <c r="A88" s="1" t="s">
        <v>133</v>
      </c>
      <c r="B88" s="1" t="s">
        <v>134</v>
      </c>
      <c r="C88" s="9">
        <f>+payroll!G88</f>
        <v>5.3548242968325251E-4</v>
      </c>
      <c r="D88" s="9">
        <f>+IFR!T88</f>
        <v>5.1380051292689607E-4</v>
      </c>
      <c r="E88" s="9">
        <f>+claims!R88</f>
        <v>1.7176124584156996E-4</v>
      </c>
      <c r="F88" s="9">
        <f>+costs!L88</f>
        <v>7.3467990757564392E-6</v>
      </c>
      <c r="H88" s="28">
        <f t="shared" si="8"/>
        <v>1.6133263414795795E-4</v>
      </c>
      <c r="J88" s="2">
        <f t="shared" si="5"/>
        <v>8442.5772765603178</v>
      </c>
      <c r="L88" s="7">
        <f>+J88/payroll!F88</f>
        <v>1.304701880216806E-3</v>
      </c>
      <c r="O88" s="2">
        <v>9685.0779358059863</v>
      </c>
      <c r="P88" s="17">
        <f t="shared" si="6"/>
        <v>-1242.5006592456684</v>
      </c>
      <c r="R88" s="28">
        <v>1.6134430654268615E-4</v>
      </c>
      <c r="S88" s="9">
        <f t="shared" si="7"/>
        <v>-1.167239472820423E-8</v>
      </c>
      <c r="U88" s="25"/>
      <c r="X88" s="2"/>
    </row>
    <row r="89" spans="1:24">
      <c r="A89" s="1" t="s">
        <v>135</v>
      </c>
      <c r="B89" s="1" t="s">
        <v>136</v>
      </c>
      <c r="C89" s="9">
        <f>+payroll!G89</f>
        <v>0.16084312371250256</v>
      </c>
      <c r="D89" s="9">
        <f>+IFR!T89</f>
        <v>0.19359386656350158</v>
      </c>
      <c r="E89" s="9">
        <f>+claims!R89</f>
        <v>0.31200279639361678</v>
      </c>
      <c r="F89" s="9">
        <f>+costs!L89</f>
        <v>0.19887024080305601</v>
      </c>
      <c r="H89" s="28">
        <f t="shared" si="8"/>
        <v>0.21042718772537666</v>
      </c>
      <c r="J89" s="2">
        <f t="shared" si="5"/>
        <v>11011707.599291334</v>
      </c>
      <c r="L89" s="7">
        <f>+J89/payroll!F89</f>
        <v>5.6654399532470798E-3</v>
      </c>
      <c r="O89" s="2">
        <v>12631343.008930461</v>
      </c>
      <c r="P89" s="17">
        <f>+J89-O89</f>
        <v>-1619635.4096391276</v>
      </c>
      <c r="R89" s="28">
        <v>0.21042631685431978</v>
      </c>
      <c r="S89" s="9">
        <f>+H89-R89</f>
        <v>8.7087105687944089E-7</v>
      </c>
      <c r="U89" s="25"/>
      <c r="X89" s="2"/>
    </row>
    <row r="90" spans="1:24">
      <c r="A90" s="1" t="s">
        <v>137</v>
      </c>
      <c r="B90" s="1" t="s">
        <v>474</v>
      </c>
      <c r="C90" s="9">
        <f>+payroll!G90</f>
        <v>5.4743113231028172E-2</v>
      </c>
      <c r="D90" s="9">
        <f>+IFR!T90</f>
        <v>6.5557696916134278E-2</v>
      </c>
      <c r="E90" s="9">
        <f>+claims!R90</f>
        <v>4.0249385275541234E-2</v>
      </c>
      <c r="F90" s="9">
        <f>+costs!L90</f>
        <v>2.1696589198145624E-2</v>
      </c>
      <c r="H90" s="28">
        <f t="shared" si="8"/>
        <v>3.409296257861387E-2</v>
      </c>
      <c r="J90" s="2">
        <f t="shared" si="5"/>
        <v>1784093.2969138524</v>
      </c>
      <c r="L90" s="7">
        <f>+J90/payroll!F90</f>
        <v>2.6969291567909234E-3</v>
      </c>
      <c r="O90" s="2">
        <v>2046606.9991367771</v>
      </c>
      <c r="P90" s="17">
        <f t="shared" si="6"/>
        <v>-262513.70222292468</v>
      </c>
      <c r="R90" s="28">
        <v>3.4094551353101882E-2</v>
      </c>
      <c r="S90" s="9">
        <f t="shared" si="7"/>
        <v>-1.5887744880122012E-6</v>
      </c>
      <c r="U90" s="25"/>
      <c r="X90" s="2"/>
    </row>
    <row r="91" spans="1:24">
      <c r="A91" s="1" t="s">
        <v>138</v>
      </c>
      <c r="B91" s="1" t="s">
        <v>139</v>
      </c>
      <c r="C91" s="9">
        <f>+payroll!G91</f>
        <v>8.8023286648609004E-5</v>
      </c>
      <c r="D91" s="9">
        <f>+IFR!T91</f>
        <v>9.9084855122846233E-5</v>
      </c>
      <c r="E91" s="9">
        <f>+claims!R91</f>
        <v>0</v>
      </c>
      <c r="F91" s="9">
        <f>+costs!L91</f>
        <v>0</v>
      </c>
      <c r="H91" s="28">
        <f t="shared" si="8"/>
        <v>2.3388517721431905E-5</v>
      </c>
      <c r="J91" s="2">
        <f t="shared" si="5"/>
        <v>1223.9270082598389</v>
      </c>
      <c r="L91" s="7">
        <f>+J91/payroll!F91</f>
        <v>1.1506398399795472E-3</v>
      </c>
      <c r="O91" s="2">
        <v>1404.0352540180643</v>
      </c>
      <c r="P91" s="17">
        <f t="shared" si="6"/>
        <v>-180.10824575822539</v>
      </c>
      <c r="R91" s="28">
        <v>2.3389909293711516E-5</v>
      </c>
      <c r="S91" s="9">
        <f t="shared" si="7"/>
        <v>-1.391572279611531E-9</v>
      </c>
      <c r="U91" s="25"/>
      <c r="X91" s="2"/>
    </row>
    <row r="92" spans="1:24">
      <c r="A92" s="1" t="s">
        <v>473</v>
      </c>
      <c r="B92" s="1" t="s">
        <v>477</v>
      </c>
      <c r="C92" s="9">
        <f>+payroll!G92</f>
        <v>1.8685071241730973E-2</v>
      </c>
      <c r="D92" s="9">
        <f>+IFR!T92</f>
        <v>1.9880060478514101E-2</v>
      </c>
      <c r="E92" s="9">
        <f>+claims!R92</f>
        <v>4.7520611349501033E-3</v>
      </c>
      <c r="F92" s="9">
        <f>+costs!L92</f>
        <v>5.6997888792900782E-3</v>
      </c>
      <c r="H92" s="28">
        <f t="shared" si="8"/>
        <v>8.9533239628471969E-3</v>
      </c>
      <c r="J92" s="2">
        <f t="shared" si="5"/>
        <v>468529.69231937302</v>
      </c>
      <c r="L92" s="7">
        <f>+J92/payroll!F92</f>
        <v>2.0750273712961055E-3</v>
      </c>
      <c r="O92" s="2">
        <v>537467.65565610095</v>
      </c>
      <c r="P92" s="17">
        <f t="shared" si="6"/>
        <v>-68937.963336727931</v>
      </c>
      <c r="R92" s="28">
        <v>8.9537065954173219E-3</v>
      </c>
      <c r="S92" s="9">
        <f t="shared" si="7"/>
        <v>-3.8263257012491336E-7</v>
      </c>
      <c r="U92" s="25"/>
      <c r="X92" s="2"/>
    </row>
    <row r="93" spans="1:24">
      <c r="A93" s="1" t="s">
        <v>493</v>
      </c>
      <c r="B93" s="1" t="s">
        <v>531</v>
      </c>
      <c r="C93" s="9">
        <f>+payroll!G93</f>
        <v>4.0439316038140327E-4</v>
      </c>
      <c r="D93" s="9">
        <f>+IFR!T93</f>
        <v>2.097093449126968E-4</v>
      </c>
      <c r="E93" s="9">
        <f>+claims!R93</f>
        <v>0</v>
      </c>
      <c r="F93" s="9">
        <f>+costs!L93</f>
        <v>0</v>
      </c>
      <c r="H93" s="28">
        <f t="shared" si="8"/>
        <v>7.6762813161762502E-5</v>
      </c>
      <c r="J93" s="2">
        <f t="shared" si="5"/>
        <v>4017.0172978765827</v>
      </c>
      <c r="L93" s="7">
        <f>+J93/payroll!F93</f>
        <v>8.2201807897617195E-4</v>
      </c>
      <c r="O93" s="2">
        <v>4608.2719734278835</v>
      </c>
      <c r="P93" s="17">
        <f t="shared" si="6"/>
        <v>-591.25467555130081</v>
      </c>
      <c r="R93" s="28">
        <v>7.6769485061551292E-5</v>
      </c>
      <c r="S93" s="9">
        <f t="shared" si="7"/>
        <v>-6.67189978879022E-9</v>
      </c>
      <c r="U93" s="25"/>
      <c r="X93" s="2"/>
    </row>
    <row r="94" spans="1:24">
      <c r="A94" s="1" t="s">
        <v>140</v>
      </c>
      <c r="B94" s="1" t="s">
        <v>141</v>
      </c>
      <c r="C94" s="9">
        <f>+payroll!G94</f>
        <v>3.4181172282615442E-3</v>
      </c>
      <c r="D94" s="9">
        <f>+IFR!T94</f>
        <v>3.3932031909700618E-3</v>
      </c>
      <c r="E94" s="9">
        <f>+claims!R94</f>
        <v>2.0038812014849827E-3</v>
      </c>
      <c r="F94" s="9">
        <f>+costs!L94</f>
        <v>1.0733802699434592E-3</v>
      </c>
      <c r="H94" s="28">
        <f t="shared" si="8"/>
        <v>1.7960253945927735E-3</v>
      </c>
      <c r="J94" s="2">
        <f t="shared" si="5"/>
        <v>93986.460114499729</v>
      </c>
      <c r="L94" s="7">
        <f>+J94/payroll!F94</f>
        <v>2.2754107654143177E-3</v>
      </c>
      <c r="O94" s="2">
        <v>107816.17019224309</v>
      </c>
      <c r="P94" s="17">
        <f t="shared" si="6"/>
        <v>-13829.710077743366</v>
      </c>
      <c r="R94" s="28">
        <v>1.7961161829626563E-3</v>
      </c>
      <c r="S94" s="9">
        <f t="shared" si="7"/>
        <v>-9.078836988272998E-8</v>
      </c>
      <c r="U94" s="25"/>
      <c r="X94" s="2"/>
    </row>
    <row r="95" spans="1:24">
      <c r="A95" s="1" t="s">
        <v>142</v>
      </c>
      <c r="B95" s="1" t="s">
        <v>143</v>
      </c>
      <c r="C95" s="9">
        <f>+payroll!G95</f>
        <v>9.0464064974912599E-4</v>
      </c>
      <c r="D95" s="9">
        <f>+IFR!T95</f>
        <v>9.9596453240289977E-4</v>
      </c>
      <c r="E95" s="9">
        <f>+claims!R95</f>
        <v>1.325876283689312E-3</v>
      </c>
      <c r="F95" s="9">
        <f>+costs!L95</f>
        <v>1.8201684123490172E-3</v>
      </c>
      <c r="H95" s="28">
        <f t="shared" si="8"/>
        <v>1.5285581377318103E-3</v>
      </c>
      <c r="J95" s="2">
        <f t="shared" si="5"/>
        <v>79989.831367166582</v>
      </c>
      <c r="L95" s="7">
        <f>+J95/payroll!F95</f>
        <v>7.3171195623787386E-3</v>
      </c>
      <c r="O95" s="2">
        <v>91757.657690779437</v>
      </c>
      <c r="P95" s="17">
        <f t="shared" si="6"/>
        <v>-11767.826323612855</v>
      </c>
      <c r="R95" s="28">
        <v>1.5285964396184236E-3</v>
      </c>
      <c r="S95" s="9">
        <f t="shared" si="7"/>
        <v>-3.8301886613311548E-8</v>
      </c>
      <c r="U95" s="25"/>
      <c r="X95" s="2"/>
    </row>
    <row r="96" spans="1:24">
      <c r="A96" s="1" t="s">
        <v>144</v>
      </c>
      <c r="B96" s="1" t="s">
        <v>145</v>
      </c>
      <c r="C96" s="9">
        <f>+payroll!G96</f>
        <v>1.0722446700026646E-4</v>
      </c>
      <c r="D96" s="9">
        <f>+IFR!T96</f>
        <v>1.1872288151440825E-4</v>
      </c>
      <c r="E96" s="9">
        <f>+claims!R96</f>
        <v>0</v>
      </c>
      <c r="F96" s="9">
        <f>+costs!L96</f>
        <v>0</v>
      </c>
      <c r="H96" s="28">
        <f t="shared" si="8"/>
        <v>2.824341856433434E-5</v>
      </c>
      <c r="J96" s="2">
        <f t="shared" si="5"/>
        <v>1477.9851890656621</v>
      </c>
      <c r="L96" s="7">
        <f>+J96/payroll!F96</f>
        <v>1.1406637892144632E-3</v>
      </c>
      <c r="O96" s="2">
        <v>1695.4806463023613</v>
      </c>
      <c r="P96" s="17">
        <f t="shared" si="6"/>
        <v>-217.49545723669917</v>
      </c>
      <c r="R96" s="28">
        <v>2.824511593477793E-5</v>
      </c>
      <c r="S96" s="9">
        <f t="shared" si="7"/>
        <v>-1.6973704435902122E-9</v>
      </c>
      <c r="U96" s="25"/>
      <c r="X96" s="2"/>
    </row>
    <row r="97" spans="1:24">
      <c r="A97" s="1" t="s">
        <v>146</v>
      </c>
      <c r="B97" s="1" t="s">
        <v>147</v>
      </c>
      <c r="C97" s="9">
        <f>+payroll!G97</f>
        <v>2.7138091908768618E-3</v>
      </c>
      <c r="D97" s="9">
        <f>+IFR!T97</f>
        <v>2.2299483683250244E-3</v>
      </c>
      <c r="E97" s="9">
        <f>+claims!R97</f>
        <v>1.1450749722771331E-4</v>
      </c>
      <c r="F97" s="9">
        <f>+costs!L97</f>
        <v>5.1351001083223055E-6</v>
      </c>
      <c r="H97" s="28">
        <f t="shared" si="8"/>
        <v>6.3822687954938622E-4</v>
      </c>
      <c r="J97" s="2">
        <f t="shared" si="5"/>
        <v>33398.572948558336</v>
      </c>
      <c r="L97" s="7">
        <f>+J97/payroll!F97</f>
        <v>1.0184273897042512E-3</v>
      </c>
      <c r="O97" s="2">
        <v>38313.85095892688</v>
      </c>
      <c r="P97" s="17">
        <f t="shared" si="6"/>
        <v>-4915.2780103685436</v>
      </c>
      <c r="R97" s="28">
        <v>6.3827278984445769E-4</v>
      </c>
      <c r="S97" s="9">
        <f t="shared" si="7"/>
        <v>-4.5910295071475635E-8</v>
      </c>
      <c r="U97" s="25"/>
      <c r="X97" s="2"/>
    </row>
    <row r="98" spans="1:24">
      <c r="A98" s="1" t="s">
        <v>148</v>
      </c>
      <c r="B98" s="1" t="s">
        <v>468</v>
      </c>
      <c r="C98" s="9">
        <f>+payroll!G98</f>
        <v>1.5807170377199468E-2</v>
      </c>
      <c r="D98" s="9">
        <f>+IFR!T98</f>
        <v>1.5101252287577718E-2</v>
      </c>
      <c r="E98" s="9">
        <f>+claims!R98</f>
        <v>1.7748662070295564E-3</v>
      </c>
      <c r="F98" s="9">
        <f>+costs!L98</f>
        <v>4.9225293708108611E-4</v>
      </c>
      <c r="H98" s="28">
        <f t="shared" si="8"/>
        <v>4.4251345264002331E-3</v>
      </c>
      <c r="J98" s="2">
        <f t="shared" si="5"/>
        <v>231568.40149307129</v>
      </c>
      <c r="L98" s="7">
        <f>+J98/payroll!F98</f>
        <v>1.2122903061228725E-3</v>
      </c>
      <c r="O98" s="2">
        <v>265646.39560796117</v>
      </c>
      <c r="P98" s="17">
        <f t="shared" si="6"/>
        <v>-34077.99411488988</v>
      </c>
      <c r="R98" s="28">
        <v>4.4254195752492656E-3</v>
      </c>
      <c r="S98" s="9">
        <f t="shared" si="7"/>
        <v>-2.8504884903250011E-7</v>
      </c>
      <c r="U98" s="25"/>
      <c r="X98" s="2"/>
    </row>
    <row r="99" spans="1:24">
      <c r="A99" s="1" t="s">
        <v>149</v>
      </c>
      <c r="B99" s="1" t="s">
        <v>522</v>
      </c>
      <c r="C99" s="9">
        <f>+payroll!G99</f>
        <v>3.9747096327049611E-4</v>
      </c>
      <c r="D99" s="9">
        <f>+IFR!T99</f>
        <v>3.9276052783124044E-4</v>
      </c>
      <c r="E99" s="9">
        <f>+claims!R99</f>
        <v>0</v>
      </c>
      <c r="F99" s="9">
        <f>+costs!L99</f>
        <v>0</v>
      </c>
      <c r="H99" s="28">
        <f t="shared" si="8"/>
        <v>9.8778936387717062E-5</v>
      </c>
      <c r="J99" s="2">
        <f t="shared" si="5"/>
        <v>5169.1265574014233</v>
      </c>
      <c r="L99" s="7">
        <f>+J99/payroll!F99</f>
        <v>1.0762005928777135E-3</v>
      </c>
      <c r="O99" s="2">
        <v>5929.8228543651676</v>
      </c>
      <c r="P99" s="17">
        <f t="shared" si="6"/>
        <v>-760.69629696374432</v>
      </c>
      <c r="R99" s="28">
        <v>9.8785282131950151E-5</v>
      </c>
      <c r="S99" s="9">
        <f t="shared" si="7"/>
        <v>-6.3457442330883997E-9</v>
      </c>
      <c r="U99" s="25"/>
      <c r="X99" s="2"/>
    </row>
    <row r="100" spans="1:24">
      <c r="A100" s="1" t="s">
        <v>496</v>
      </c>
      <c r="B100" s="1" t="s">
        <v>497</v>
      </c>
      <c r="C100" s="9">
        <f>+payroll!G100</f>
        <v>3.9897422073017158E-3</v>
      </c>
      <c r="D100" s="9">
        <f>+IFR!T100</f>
        <v>4.1376587475193457E-3</v>
      </c>
      <c r="E100" s="9">
        <f>+claims!R100</f>
        <v>6.2979123475242322E-4</v>
      </c>
      <c r="F100" s="9">
        <f>+costs!L100</f>
        <v>2.032486910311211E-3</v>
      </c>
      <c r="H100" s="28">
        <f>(C100*$C$3)+(D100*$D$3)+(E100*$E$3)+(F100*$F$3)</f>
        <v>2.3298859507522229E-3</v>
      </c>
      <c r="J100" s="2">
        <f t="shared" si="5"/>
        <v>121923.51714011125</v>
      </c>
      <c r="L100" s="7">
        <f>+J100/payroll!F100</f>
        <v>2.5288560935120287E-3</v>
      </c>
      <c r="O100" s="2">
        <v>139861.47116304882</v>
      </c>
      <c r="P100" s="17">
        <f t="shared" si="6"/>
        <v>-17937.954022937571</v>
      </c>
      <c r="R100" s="28">
        <v>2.3299608146069182E-3</v>
      </c>
      <c r="S100" s="9">
        <f t="shared" si="7"/>
        <v>-7.4863854695322862E-8</v>
      </c>
      <c r="U100" s="25"/>
      <c r="X100" s="2"/>
    </row>
    <row r="101" spans="1:24">
      <c r="A101" s="1" t="s">
        <v>536</v>
      </c>
      <c r="B101" s="1" t="s">
        <v>537</v>
      </c>
      <c r="C101" s="9">
        <f>+payroll!G101</f>
        <v>9.9071247269741178E-3</v>
      </c>
      <c r="D101" s="9">
        <f>+IFR!T101</f>
        <v>1.0879122496631116E-2</v>
      </c>
      <c r="E101" s="9">
        <f>+claims!R101</f>
        <v>5.3914951063111755E-2</v>
      </c>
      <c r="F101" s="9">
        <f>+costs!L101</f>
        <v>5.1443998490935859E-2</v>
      </c>
      <c r="H101" s="28">
        <f t="shared" si="8"/>
        <v>4.1551922656978935E-2</v>
      </c>
      <c r="J101" s="2">
        <f t="shared" ref="J101:J132" si="9">(+H101*$J$272)</f>
        <v>2174422.5517292367</v>
      </c>
      <c r="L101" s="7">
        <f>+J101/payroll!F101</f>
        <v>1.8162590112146233E-2</v>
      </c>
      <c r="O101" s="2">
        <v>2494321.4910880858</v>
      </c>
      <c r="P101" s="17">
        <f t="shared" si="6"/>
        <v>-319898.93935884908</v>
      </c>
      <c r="R101" s="28">
        <v>4.1553054496988408E-2</v>
      </c>
      <c r="S101" s="9">
        <f t="shared" si="7"/>
        <v>-1.1318400094731396E-6</v>
      </c>
      <c r="U101" s="25"/>
      <c r="X101" s="2"/>
    </row>
    <row r="102" spans="1:24">
      <c r="A102" s="1" t="s">
        <v>150</v>
      </c>
      <c r="B102" s="1" t="s">
        <v>151</v>
      </c>
      <c r="C102" s="9">
        <f>+payroll!G102</f>
        <v>0.12385167888106741</v>
      </c>
      <c r="D102" s="9">
        <f>+IFR!T102</f>
        <v>0.1659648152271862</v>
      </c>
      <c r="E102" s="9">
        <f>+claims!R102</f>
        <v>0.3376163155103421</v>
      </c>
      <c r="F102" s="9">
        <f>+costs!L102</f>
        <v>0.45733648102367214</v>
      </c>
      <c r="H102" s="28">
        <f t="shared" si="8"/>
        <v>0.36127139770428629</v>
      </c>
      <c r="J102" s="2">
        <f t="shared" si="9"/>
        <v>18905423.004078548</v>
      </c>
      <c r="L102" s="7">
        <f>+J102/payroll!F102</f>
        <v>1.2631821207526719E-2</v>
      </c>
      <c r="O102" s="2">
        <v>21686119.274770435</v>
      </c>
      <c r="P102" s="17">
        <f t="shared" si="6"/>
        <v>-2780696.2706918865</v>
      </c>
      <c r="R102" s="28">
        <v>0.36127038927112531</v>
      </c>
      <c r="S102" s="9">
        <f t="shared" si="7"/>
        <v>1.0084331609760966E-6</v>
      </c>
      <c r="U102" s="25"/>
      <c r="X102" s="2"/>
    </row>
    <row r="103" spans="1:24">
      <c r="A103" s="1" t="s">
        <v>499</v>
      </c>
      <c r="B103" s="1" t="s">
        <v>498</v>
      </c>
      <c r="C103" s="9">
        <f>+payroll!G103</f>
        <v>4.7079568853883157E-3</v>
      </c>
      <c r="D103" s="9">
        <f>+IFR!T103</f>
        <v>5.0648672459321616E-3</v>
      </c>
      <c r="E103" s="9">
        <f>+claims!R103</f>
        <v>9.1605997782170652E-4</v>
      </c>
      <c r="F103" s="9">
        <f>+costs!L103</f>
        <v>2.160825196213436E-3</v>
      </c>
      <c r="H103" s="28">
        <f t="shared" si="8"/>
        <v>2.6555071308163774E-3</v>
      </c>
      <c r="J103" s="2">
        <f t="shared" si="9"/>
        <v>138963.35529867752</v>
      </c>
      <c r="L103" s="7">
        <f>+J103/payroll!F103</f>
        <v>2.4425827388286619E-3</v>
      </c>
      <c r="O103" s="2">
        <v>159408.64558633787</v>
      </c>
      <c r="P103" s="17">
        <f t="shared" si="6"/>
        <v>-20445.290287660348</v>
      </c>
      <c r="R103" s="28">
        <v>2.6555983905870483E-3</v>
      </c>
      <c r="S103" s="9">
        <f t="shared" si="7"/>
        <v>-9.1259770670926166E-8</v>
      </c>
      <c r="U103" s="25"/>
      <c r="X103" s="2"/>
    </row>
    <row r="104" spans="1:24">
      <c r="A104" s="1" t="s">
        <v>152</v>
      </c>
      <c r="B104" s="1" t="s">
        <v>153</v>
      </c>
      <c r="C104" s="9">
        <f>+payroll!G104</f>
        <v>8.9585901558390697E-3</v>
      </c>
      <c r="D104" s="9">
        <f>+IFR!T104</f>
        <v>6.3384483173120386E-3</v>
      </c>
      <c r="E104" s="9">
        <f>+claims!R104</f>
        <v>2.2901499445542663E-4</v>
      </c>
      <c r="F104" s="9">
        <f>+costs!L104</f>
        <v>5.2646904782060536E-5</v>
      </c>
      <c r="H104" s="28">
        <f t="shared" si="8"/>
        <v>1.9780702011814389E-3</v>
      </c>
      <c r="J104" s="2">
        <f t="shared" si="9"/>
        <v>103512.91057840135</v>
      </c>
      <c r="L104" s="7">
        <f>+J104/payroll!F104</f>
        <v>9.5617265773615312E-4</v>
      </c>
      <c r="O104" s="2">
        <v>118747.40083474685</v>
      </c>
      <c r="P104" s="17">
        <f t="shared" si="6"/>
        <v>-15234.490256345496</v>
      </c>
      <c r="R104" s="28">
        <v>1.9782202237729543E-3</v>
      </c>
      <c r="S104" s="9">
        <f t="shared" si="7"/>
        <v>-1.5002259151544045E-7</v>
      </c>
      <c r="U104" s="25"/>
      <c r="X104" s="2"/>
    </row>
    <row r="105" spans="1:24">
      <c r="A105" s="1" t="s">
        <v>565</v>
      </c>
      <c r="B105" s="1" t="s">
        <v>566</v>
      </c>
      <c r="C105" s="9">
        <f>+payroll!G105</f>
        <v>1.0906267403273952E-3</v>
      </c>
      <c r="D105" s="9">
        <f>+IFR!T105</f>
        <v>5.0305465829861621E-4</v>
      </c>
      <c r="E105" s="9">
        <f>+claims!R105</f>
        <v>0</v>
      </c>
      <c r="F105" s="9">
        <f>+costs!L105</f>
        <v>0</v>
      </c>
      <c r="H105" s="28">
        <f t="shared" si="8"/>
        <v>1.9921017482825144E-4</v>
      </c>
      <c r="J105" s="2">
        <f t="shared" si="9"/>
        <v>10424.718496334621</v>
      </c>
      <c r="L105" s="7">
        <f>+J105/payroll!F105</f>
        <v>7.9098757891727127E-4</v>
      </c>
      <c r="O105" s="2">
        <v>11959.151634940676</v>
      </c>
      <c r="P105" s="17">
        <f t="shared" si="6"/>
        <v>-1534.4331386060549</v>
      </c>
      <c r="R105" s="28">
        <v>1.9922823958336681E-4</v>
      </c>
      <c r="S105" s="9">
        <f t="shared" si="7"/>
        <v>-1.8064755115371851E-8</v>
      </c>
      <c r="U105" s="25"/>
      <c r="X105" s="2"/>
    </row>
    <row r="106" spans="1:24">
      <c r="A106" s="1" t="s">
        <v>154</v>
      </c>
      <c r="B106" s="1" t="s">
        <v>155</v>
      </c>
      <c r="C106" s="9">
        <f>+payroll!G106</f>
        <v>7.2686554842629246E-3</v>
      </c>
      <c r="D106" s="9">
        <f>+IFR!T106</f>
        <v>6.0664065919018269E-3</v>
      </c>
      <c r="E106" s="9">
        <f>+claims!R106</f>
        <v>2.3474036931681228E-3</v>
      </c>
      <c r="F106" s="9">
        <f>+costs!L106</f>
        <v>2.8067639162661024E-3</v>
      </c>
      <c r="H106" s="28">
        <f t="shared" si="8"/>
        <v>3.7030516632554737E-3</v>
      </c>
      <c r="J106" s="2">
        <f t="shared" si="9"/>
        <v>193781.62385582831</v>
      </c>
      <c r="L106" s="7">
        <f>+J106/payroll!F106</f>
        <v>2.2061750817501604E-3</v>
      </c>
      <c r="O106" s="2">
        <v>222294.12377582298</v>
      </c>
      <c r="P106" s="17">
        <f t="shared" si="6"/>
        <v>-28512.499919994676</v>
      </c>
      <c r="R106" s="28">
        <v>3.703211423475186E-3</v>
      </c>
      <c r="S106" s="9">
        <f t="shared" si="7"/>
        <v>-1.59760219712278E-7</v>
      </c>
      <c r="U106" s="25"/>
      <c r="X106" s="2"/>
    </row>
    <row r="107" spans="1:24">
      <c r="A107" s="1" t="s">
        <v>156</v>
      </c>
      <c r="B107" s="1" t="s">
        <v>157</v>
      </c>
      <c r="C107" s="9">
        <f>+payroll!G107</f>
        <v>9.3709873967940723E-3</v>
      </c>
      <c r="D107" s="9">
        <f>+IFR!T107</f>
        <v>9.4258856020359109E-3</v>
      </c>
      <c r="E107" s="9">
        <f>+claims!R107</f>
        <v>3.4924786654452556E-3</v>
      </c>
      <c r="F107" s="9">
        <f>+costs!L107</f>
        <v>2.1465355495736446E-3</v>
      </c>
      <c r="H107" s="28">
        <f t="shared" si="8"/>
        <v>4.1614022544147226E-3</v>
      </c>
      <c r="J107" s="2">
        <f t="shared" si="9"/>
        <v>217767.22544261083</v>
      </c>
      <c r="L107" s="7">
        <f>+J107/payroll!F107</f>
        <v>1.9230413958759337E-3</v>
      </c>
      <c r="O107" s="2">
        <v>249810.88467489954</v>
      </c>
      <c r="P107" s="17">
        <f t="shared" si="6"/>
        <v>-32043.659232288715</v>
      </c>
      <c r="R107" s="28">
        <v>4.161614828691867E-3</v>
      </c>
      <c r="S107" s="9">
        <f t="shared" si="7"/>
        <v>-2.1257427714437005E-7</v>
      </c>
      <c r="U107" s="25"/>
      <c r="X107" s="2"/>
    </row>
    <row r="108" spans="1:24">
      <c r="A108" s="1" t="s">
        <v>158</v>
      </c>
      <c r="B108" s="1" t="s">
        <v>159</v>
      </c>
      <c r="C108" s="9">
        <f>+payroll!G108</f>
        <v>4.8950685940776284E-2</v>
      </c>
      <c r="D108" s="9">
        <f>+IFR!T108</f>
        <v>3.6994416945803472E-2</v>
      </c>
      <c r="E108" s="9">
        <f>+claims!R108</f>
        <v>1.2595824695048463E-2</v>
      </c>
      <c r="F108" s="9">
        <f>+costs!L108</f>
        <v>9.583776404529459E-3</v>
      </c>
      <c r="H108" s="28">
        <f t="shared" si="8"/>
        <v>1.8382777407797413E-2</v>
      </c>
      <c r="J108" s="2">
        <f t="shared" si="9"/>
        <v>961975.36005520693</v>
      </c>
      <c r="L108" s="7">
        <f>+J108/payroll!F108</f>
        <v>1.6262474752138344E-3</v>
      </c>
      <c r="O108" s="2">
        <v>1103531.5450799598</v>
      </c>
      <c r="P108" s="17">
        <f t="shared" si="6"/>
        <v>-141556.18502475286</v>
      </c>
      <c r="R108" s="28">
        <v>1.8383799600688297E-2</v>
      </c>
      <c r="S108" s="9">
        <f t="shared" si="7"/>
        <v>-1.0221928908836497E-6</v>
      </c>
      <c r="U108" s="25"/>
      <c r="X108" s="2"/>
    </row>
    <row r="109" spans="1:24">
      <c r="A109" s="1" t="s">
        <v>160</v>
      </c>
      <c r="B109" s="1" t="s">
        <v>161</v>
      </c>
      <c r="C109" s="9">
        <f>+payroll!G109</f>
        <v>1.0771217974758928E-2</v>
      </c>
      <c r="D109" s="9">
        <f>+IFR!T109</f>
        <v>1.0143430638775262E-2</v>
      </c>
      <c r="E109" s="9">
        <f>+claims!R109</f>
        <v>5.2100911238609554E-3</v>
      </c>
      <c r="F109" s="9">
        <f>+costs!L109</f>
        <v>3.6925266603698632E-3</v>
      </c>
      <c r="H109" s="28">
        <f t="shared" si="8"/>
        <v>5.6113607414928351E-3</v>
      </c>
      <c r="J109" s="2">
        <f t="shared" si="9"/>
        <v>293643.91734447918</v>
      </c>
      <c r="L109" s="7">
        <f>+J109/payroll!F109</f>
        <v>2.2559925619894091E-3</v>
      </c>
      <c r="O109" s="2">
        <v>336851.36284150882</v>
      </c>
      <c r="P109" s="17">
        <f t="shared" si="6"/>
        <v>-43207.445497029636</v>
      </c>
      <c r="R109" s="28">
        <v>5.6116274856903466E-3</v>
      </c>
      <c r="S109" s="9">
        <f t="shared" si="7"/>
        <v>-2.6674419751140932E-7</v>
      </c>
      <c r="U109" s="25"/>
      <c r="X109" s="2"/>
    </row>
    <row r="110" spans="1:24">
      <c r="A110" s="1" t="s">
        <v>162</v>
      </c>
      <c r="B110" s="1" t="s">
        <v>163</v>
      </c>
      <c r="C110" s="9">
        <f>+payroll!G110</f>
        <v>4.2743005332746414E-2</v>
      </c>
      <c r="D110" s="9">
        <f>+IFR!T110</f>
        <v>4.0867581760766374E-2</v>
      </c>
      <c r="E110" s="9">
        <f>+claims!R110</f>
        <v>1.8092184561978704E-2</v>
      </c>
      <c r="F110" s="9">
        <f>+costs!L110</f>
        <v>1.8412449046768725E-2</v>
      </c>
      <c r="H110" s="28">
        <f t="shared" si="8"/>
        <v>2.4212620499047141E-2</v>
      </c>
      <c r="J110" s="2">
        <f t="shared" si="9"/>
        <v>1267052.513651785</v>
      </c>
      <c r="L110" s="7">
        <f>+J110/payroll!F110</f>
        <v>2.4530761437214954E-3</v>
      </c>
      <c r="O110" s="2">
        <v>1453481.1562206633</v>
      </c>
      <c r="P110" s="17">
        <f t="shared" si="6"/>
        <v>-186428.64256887836</v>
      </c>
      <c r="R110" s="28">
        <v>2.421363160706138E-2</v>
      </c>
      <c r="S110" s="9">
        <f t="shared" si="7"/>
        <v>-1.0111080142385931E-6</v>
      </c>
      <c r="U110" s="25"/>
      <c r="X110" s="2"/>
    </row>
    <row r="111" spans="1:24">
      <c r="A111" s="1" t="s">
        <v>164</v>
      </c>
      <c r="B111" s="1" t="s">
        <v>165</v>
      </c>
      <c r="C111" s="9">
        <f>+payroll!G111</f>
        <v>7.8478058008358484E-3</v>
      </c>
      <c r="D111" s="9">
        <f>+IFR!T111</f>
        <v>7.6885626317319275E-3</v>
      </c>
      <c r="E111" s="9">
        <f>+claims!R111</f>
        <v>2.5191649390096929E-3</v>
      </c>
      <c r="F111" s="9">
        <f>+costs!L111</f>
        <v>1.2389050174232154E-3</v>
      </c>
      <c r="H111" s="28">
        <f t="shared" si="8"/>
        <v>3.0632638053763551E-3</v>
      </c>
      <c r="J111" s="2">
        <f t="shared" si="9"/>
        <v>160301.3645191105</v>
      </c>
      <c r="L111" s="7">
        <f>+J111/payroll!F111</f>
        <v>1.6903258790057583E-3</v>
      </c>
      <c r="O111" s="2">
        <v>183889.99713490219</v>
      </c>
      <c r="P111" s="17">
        <f t="shared" si="6"/>
        <v>-23588.632615791692</v>
      </c>
      <c r="R111" s="28">
        <v>3.0634347255150147E-3</v>
      </c>
      <c r="S111" s="9">
        <f t="shared" si="7"/>
        <v>-1.7092013865956796E-7</v>
      </c>
      <c r="U111" s="25"/>
      <c r="X111" s="2"/>
    </row>
    <row r="112" spans="1:24">
      <c r="A112" s="1" t="s">
        <v>166</v>
      </c>
      <c r="B112" s="1" t="s">
        <v>167</v>
      </c>
      <c r="C112" s="9">
        <f>+payroll!G112</f>
        <v>3.5696437979548102E-3</v>
      </c>
      <c r="D112" s="9">
        <f>+IFR!T112</f>
        <v>3.9708043480499184E-3</v>
      </c>
      <c r="E112" s="9">
        <f>+claims!R112</f>
        <v>1.4885974639602729E-3</v>
      </c>
      <c r="F112" s="9">
        <f>+costs!L112</f>
        <v>9.6993904019289259E-4</v>
      </c>
      <c r="H112" s="28">
        <f t="shared" si="8"/>
        <v>1.7478090619603677E-3</v>
      </c>
      <c r="J112" s="2">
        <f t="shared" si="9"/>
        <v>91463.287314456684</v>
      </c>
      <c r="L112" s="7">
        <f>+J112/payroll!F112</f>
        <v>2.1203296865202103E-3</v>
      </c>
      <c r="O112" s="2">
        <v>104921.42623569204</v>
      </c>
      <c r="P112" s="17">
        <f t="shared" si="6"/>
        <v>-13458.138921235353</v>
      </c>
      <c r="R112" s="28">
        <v>1.7478924660876828E-3</v>
      </c>
      <c r="S112" s="9">
        <f t="shared" si="7"/>
        <v>-8.340412731506E-8</v>
      </c>
      <c r="U112" s="25"/>
      <c r="X112" s="2"/>
    </row>
    <row r="113" spans="1:24">
      <c r="A113" s="1" t="s">
        <v>168</v>
      </c>
      <c r="B113" s="1" t="s">
        <v>169</v>
      </c>
      <c r="C113" s="9">
        <f>+payroll!G113</f>
        <v>4.76178843139377E-3</v>
      </c>
      <c r="D113" s="9">
        <f>+IFR!T113</f>
        <v>5.4492311409838328E-3</v>
      </c>
      <c r="E113" s="9">
        <f>+claims!R113</f>
        <v>7.4429873198013645E-4</v>
      </c>
      <c r="F113" s="9">
        <f>+costs!L113</f>
        <v>7.1376575072996007E-4</v>
      </c>
      <c r="H113" s="28">
        <f t="shared" si="8"/>
        <v>1.8162817067821967E-3</v>
      </c>
      <c r="J113" s="2">
        <f t="shared" si="9"/>
        <v>95046.478020365554</v>
      </c>
      <c r="L113" s="7">
        <f>+J113/payroll!F113</f>
        <v>1.6517617390218967E-3</v>
      </c>
      <c r="O113" s="2">
        <v>109031.97466082269</v>
      </c>
      <c r="P113" s="17">
        <f t="shared" si="6"/>
        <v>-13985.496640457131</v>
      </c>
      <c r="R113" s="28">
        <v>1.8163703440726307E-3</v>
      </c>
      <c r="S113" s="9">
        <f t="shared" si="7"/>
        <v>-8.8637290434050858E-8</v>
      </c>
      <c r="U113" s="25"/>
      <c r="X113" s="2"/>
    </row>
    <row r="114" spans="1:24">
      <c r="A114" s="1" t="s">
        <v>170</v>
      </c>
      <c r="B114" s="1" t="s">
        <v>523</v>
      </c>
      <c r="C114" s="9">
        <f>+payroll!G114</f>
        <v>3.4428031887298531E-2</v>
      </c>
      <c r="D114" s="9">
        <f>+IFR!T114</f>
        <v>2.6176387982210596E-2</v>
      </c>
      <c r="E114" s="9">
        <f>+claims!R114</f>
        <v>5.6108673641579515E-3</v>
      </c>
      <c r="F114" s="9">
        <f>+costs!L114</f>
        <v>2.9865610954967047E-3</v>
      </c>
      <c r="H114" s="28">
        <f t="shared" si="8"/>
        <v>1.0209119245610356E-2</v>
      </c>
      <c r="J114" s="2">
        <f t="shared" si="9"/>
        <v>534245.77495981799</v>
      </c>
      <c r="L114" s="7">
        <f>+J114/payroll!F114</f>
        <v>1.2841340704090856E-3</v>
      </c>
      <c r="O114" s="2">
        <v>612866.42212797422</v>
      </c>
      <c r="P114" s="17">
        <f t="shared" si="6"/>
        <v>-78620.647168156225</v>
      </c>
      <c r="R114" s="28">
        <v>1.0209779264239469E-2</v>
      </c>
      <c r="S114" s="9">
        <f t="shared" si="7"/>
        <v>-6.6001862911342635E-7</v>
      </c>
      <c r="U114" s="25"/>
      <c r="X114" s="2"/>
    </row>
    <row r="115" spans="1:24">
      <c r="A115" s="1" t="s">
        <v>171</v>
      </c>
      <c r="B115" s="1" t="s">
        <v>172</v>
      </c>
      <c r="C115" s="9">
        <f>+payroll!G115</f>
        <v>3.1977150309597253E-2</v>
      </c>
      <c r="D115" s="9">
        <f>+IFR!T115</f>
        <v>3.3049972518692697E-2</v>
      </c>
      <c r="E115" s="9">
        <f>+claims!R115</f>
        <v>1.2366809700593036E-2</v>
      </c>
      <c r="F115" s="9">
        <f>+costs!L115</f>
        <v>8.5465195077274875E-3</v>
      </c>
      <c r="H115" s="28">
        <f t="shared" si="8"/>
        <v>1.5111323513261691E-2</v>
      </c>
      <c r="J115" s="2">
        <f t="shared" si="9"/>
        <v>790779.35586679063</v>
      </c>
      <c r="L115" s="7">
        <f>+J115/payroll!F115</f>
        <v>2.0464306594349248E-3</v>
      </c>
      <c r="O115" s="2">
        <v>907137.31003789511</v>
      </c>
      <c r="P115" s="17">
        <f t="shared" si="6"/>
        <v>-116357.95417110447</v>
      </c>
      <c r="R115" s="28">
        <v>1.5112056009994488E-2</v>
      </c>
      <c r="S115" s="9">
        <f t="shared" si="7"/>
        <v>-7.3249673279707217E-7</v>
      </c>
      <c r="U115" s="25"/>
      <c r="X115" s="2"/>
    </row>
    <row r="116" spans="1:24">
      <c r="A116" s="1" t="s">
        <v>173</v>
      </c>
      <c r="B116" s="1" t="s">
        <v>174</v>
      </c>
      <c r="C116" s="9">
        <f>+payroll!G116</f>
        <v>1.6293996754340689E-2</v>
      </c>
      <c r="D116" s="9">
        <f>+IFR!T116</f>
        <v>1.6220665675135987E-2</v>
      </c>
      <c r="E116" s="9">
        <f>+claims!R116</f>
        <v>3.6642399112868261E-3</v>
      </c>
      <c r="F116" s="9">
        <f>+costs!L116</f>
        <v>2.7305220269326076E-3</v>
      </c>
      <c r="H116" s="28">
        <f t="shared" si="8"/>
        <v>6.2522820065371732E-3</v>
      </c>
      <c r="J116" s="2">
        <f t="shared" si="9"/>
        <v>327183.48816289881</v>
      </c>
      <c r="L116" s="7">
        <f>+J116/payroll!F116</f>
        <v>1.6616716934937407E-3</v>
      </c>
      <c r="O116" s="2">
        <v>375327.76746814331</v>
      </c>
      <c r="P116" s="17">
        <f t="shared" si="6"/>
        <v>-48144.279305244505</v>
      </c>
      <c r="R116" s="28">
        <v>6.2526082670415414E-3</v>
      </c>
      <c r="S116" s="9">
        <f t="shared" si="7"/>
        <v>-3.2626050436822263E-7</v>
      </c>
      <c r="U116" s="25"/>
      <c r="X116" s="2"/>
    </row>
    <row r="117" spans="1:24">
      <c r="A117" s="1" t="s">
        <v>175</v>
      </c>
      <c r="B117" s="11" t="s">
        <v>541</v>
      </c>
      <c r="C117" s="9">
        <f>+payroll!G117</f>
        <v>2.8275053956570671E-2</v>
      </c>
      <c r="D117" s="9">
        <f>+IFR!T117</f>
        <v>2.5487129962458156E-2</v>
      </c>
      <c r="E117" s="9">
        <f>+claims!R117</f>
        <v>8.3017935490092148E-3</v>
      </c>
      <c r="F117" s="9">
        <f>+costs!L117</f>
        <v>5.9639325702764423E-3</v>
      </c>
      <c r="H117" s="28">
        <f t="shared" si="8"/>
        <v>1.1543901564395852E-2</v>
      </c>
      <c r="J117" s="2">
        <f t="shared" si="9"/>
        <v>604095.26903922495</v>
      </c>
      <c r="L117" s="7">
        <f>+J117/payroll!F117</f>
        <v>1.7680048874700082E-3</v>
      </c>
      <c r="O117" s="2">
        <v>692986.58021964238</v>
      </c>
      <c r="P117" s="17">
        <f t="shared" si="6"/>
        <v>-88891.311180417426</v>
      </c>
      <c r="R117" s="28">
        <v>1.1544505885240565E-2</v>
      </c>
      <c r="S117" s="9">
        <f t="shared" si="7"/>
        <v>-6.0432084471317982E-7</v>
      </c>
      <c r="U117" s="25"/>
      <c r="X117" s="2"/>
    </row>
    <row r="118" spans="1:24">
      <c r="A118" s="1" t="s">
        <v>176</v>
      </c>
      <c r="B118" s="1" t="s">
        <v>177</v>
      </c>
      <c r="C118" s="9">
        <f>+payroll!G118</f>
        <v>1.9923399913271108E-3</v>
      </c>
      <c r="D118" s="9">
        <f>+IFR!T118</f>
        <v>2.1493774002325407E-3</v>
      </c>
      <c r="E118" s="9">
        <f>+claims!R118</f>
        <v>1.0878212236632764E-3</v>
      </c>
      <c r="F118" s="9">
        <f>+costs!L118</f>
        <v>6.2254221304436559E-4</v>
      </c>
      <c r="H118" s="28">
        <f t="shared" si="8"/>
        <v>1.0544131853210672E-3</v>
      </c>
      <c r="J118" s="2">
        <f t="shared" si="9"/>
        <v>55177.706888075998</v>
      </c>
      <c r="L118" s="7">
        <f>+J118/payroll!F118</f>
        <v>2.2918261179660799E-3</v>
      </c>
      <c r="O118" s="2">
        <v>62271.03668879842</v>
      </c>
      <c r="P118" s="17">
        <f t="shared" si="6"/>
        <v>-7093.3298007224221</v>
      </c>
      <c r="R118" s="28">
        <v>1.0373770142937148E-3</v>
      </c>
      <c r="S118" s="9">
        <f t="shared" si="7"/>
        <v>1.7036171027352441E-5</v>
      </c>
      <c r="U118" s="25"/>
      <c r="X118" s="2"/>
    </row>
    <row r="119" spans="1:24">
      <c r="A119" s="1" t="s">
        <v>178</v>
      </c>
      <c r="B119" s="1" t="s">
        <v>524</v>
      </c>
      <c r="C119" s="9">
        <f>+payroll!G119</f>
        <v>7.3580134567050655E-4</v>
      </c>
      <c r="D119" s="9">
        <f>+IFR!T119</f>
        <v>2.4107053892819362E-4</v>
      </c>
      <c r="E119" s="9">
        <f>+claims!R119</f>
        <v>0</v>
      </c>
      <c r="F119" s="9">
        <f>+costs!L119</f>
        <v>0</v>
      </c>
      <c r="H119" s="28">
        <f t="shared" si="8"/>
        <v>1.2210898557483751E-4</v>
      </c>
      <c r="J119" s="2">
        <f t="shared" si="9"/>
        <v>6389.9938925716933</v>
      </c>
      <c r="L119" s="7">
        <f>+J119/payroll!F119</f>
        <v>7.1865646087699425E-4</v>
      </c>
      <c r="O119" s="2">
        <v>7330.6222330229039</v>
      </c>
      <c r="P119" s="17">
        <f t="shared" si="6"/>
        <v>-940.62834045121053</v>
      </c>
      <c r="R119" s="28">
        <v>1.2212128477983691E-4</v>
      </c>
      <c r="S119" s="9">
        <f t="shared" si="7"/>
        <v>-1.229920499939887E-8</v>
      </c>
      <c r="U119" s="25"/>
      <c r="X119" s="2"/>
    </row>
    <row r="120" spans="1:24">
      <c r="A120" s="1" t="s">
        <v>179</v>
      </c>
      <c r="B120" s="1" t="s">
        <v>180</v>
      </c>
      <c r="C120" s="9">
        <f>+payroll!G120</f>
        <v>6.2692960402370946E-3</v>
      </c>
      <c r="D120" s="9">
        <f>+IFR!T120</f>
        <v>5.9573650738655006E-3</v>
      </c>
      <c r="E120" s="9">
        <f>+claims!R120</f>
        <v>2.0611349500988395E-3</v>
      </c>
      <c r="F120" s="9">
        <f>+costs!L120</f>
        <v>3.0661017994316159E-3</v>
      </c>
      <c r="H120" s="28">
        <f t="shared" si="8"/>
        <v>3.6771639614366198E-3</v>
      </c>
      <c r="J120" s="2">
        <f t="shared" si="9"/>
        <v>192426.91391588037</v>
      </c>
      <c r="L120" s="7">
        <f>+J120/payroll!F120</f>
        <v>2.5399695247063764E-3</v>
      </c>
      <c r="O120" s="2">
        <v>220738.82420029189</v>
      </c>
      <c r="P120" s="17">
        <f t="shared" si="6"/>
        <v>-28311.910284411511</v>
      </c>
      <c r="R120" s="28">
        <v>3.6773015925844637E-3</v>
      </c>
      <c r="S120" s="9">
        <f t="shared" si="7"/>
        <v>-1.3763114784393765E-7</v>
      </c>
      <c r="U120" s="25"/>
      <c r="V120" s="11"/>
      <c r="X120" s="2"/>
    </row>
    <row r="121" spans="1:24">
      <c r="A121" s="1" t="s">
        <v>181</v>
      </c>
      <c r="B121" s="1" t="s">
        <v>182</v>
      </c>
      <c r="C121" s="9">
        <f>+payroll!G121</f>
        <v>1.0437654847691833E-2</v>
      </c>
      <c r="D121" s="9">
        <f>+IFR!T121</f>
        <v>7.5485499272135818E-3</v>
      </c>
      <c r="E121" s="9">
        <f>+claims!R121</f>
        <v>3.2062099223759731E-3</v>
      </c>
      <c r="F121" s="9">
        <f>+costs!L121</f>
        <v>3.4203798871885399E-3</v>
      </c>
      <c r="H121" s="28">
        <f t="shared" si="8"/>
        <v>4.7814350175326972E-3</v>
      </c>
      <c r="J121" s="2">
        <f t="shared" si="9"/>
        <v>250213.69570740551</v>
      </c>
      <c r="L121" s="7">
        <f>+J121/payroll!F121</f>
        <v>1.9837622202213698E-3</v>
      </c>
      <c r="O121" s="2">
        <v>287030.74574265315</v>
      </c>
      <c r="P121" s="17">
        <f t="shared" si="6"/>
        <v>-36817.050035247637</v>
      </c>
      <c r="R121" s="28">
        <v>4.7816627739324935E-3</v>
      </c>
      <c r="S121" s="9">
        <f t="shared" si="7"/>
        <v>-2.2775639979630974E-7</v>
      </c>
      <c r="U121" s="25"/>
      <c r="X121" s="2"/>
    </row>
    <row r="122" spans="1:24">
      <c r="A122" s="1" t="s">
        <v>469</v>
      </c>
      <c r="B122" s="1" t="s">
        <v>470</v>
      </c>
      <c r="C122" s="9">
        <f>+payroll!G122</f>
        <v>2.844726398285178E-3</v>
      </c>
      <c r="D122" s="9">
        <f>+IFR!T122</f>
        <v>2.0209272720008165E-3</v>
      </c>
      <c r="E122" s="9">
        <f>+claims!R122</f>
        <v>5.7253748613856657E-5</v>
      </c>
      <c r="F122" s="9">
        <f>+costs!L122</f>
        <v>1.9811805574693704E-4</v>
      </c>
      <c r="H122" s="28">
        <f t="shared" si="8"/>
        <v>7.3566560452599007E-4</v>
      </c>
      <c r="J122" s="2">
        <f t="shared" si="9"/>
        <v>38497.565906114891</v>
      </c>
      <c r="L122" s="7">
        <f>+J122/payroll!F122</f>
        <v>1.1198870876713287E-3</v>
      </c>
      <c r="O122" s="2">
        <v>44162.929885984631</v>
      </c>
      <c r="P122" s="17">
        <f t="shared" si="6"/>
        <v>-5665.3639798697404</v>
      </c>
      <c r="R122" s="28">
        <v>7.3571295394583576E-4</v>
      </c>
      <c r="S122" s="9">
        <f t="shared" si="7"/>
        <v>-4.7349419845686344E-8</v>
      </c>
      <c r="U122" s="25"/>
      <c r="X122" s="2"/>
    </row>
    <row r="123" spans="1:24">
      <c r="A123" s="1" t="s">
        <v>183</v>
      </c>
      <c r="B123" s="1" t="s">
        <v>487</v>
      </c>
      <c r="C123" s="9">
        <f>+payroll!G123</f>
        <v>2.0421898730721565E-3</v>
      </c>
      <c r="D123" s="9">
        <f>+IFR!T123</f>
        <v>1.7928187481558381E-3</v>
      </c>
      <c r="E123" s="9">
        <f>+claims!R123</f>
        <v>1.6031049611879866E-3</v>
      </c>
      <c r="F123" s="9">
        <f>+costs!L123</f>
        <v>5.9399099752482649E-4</v>
      </c>
      <c r="H123" s="28">
        <f t="shared" si="8"/>
        <v>1.0762364203465932E-3</v>
      </c>
      <c r="J123" s="2">
        <f t="shared" si="9"/>
        <v>56319.722259613111</v>
      </c>
      <c r="L123" s="7">
        <f>+J123/payroll!F123</f>
        <v>2.2821587707341057E-3</v>
      </c>
      <c r="O123" s="2">
        <v>64607.378046358222</v>
      </c>
      <c r="P123" s="17">
        <f t="shared" si="6"/>
        <v>-8287.655786745112</v>
      </c>
      <c r="R123" s="28">
        <v>1.0762982680699875E-3</v>
      </c>
      <c r="S123" s="9">
        <f t="shared" si="7"/>
        <v>-6.1847723394287471E-8</v>
      </c>
      <c r="U123" s="25"/>
      <c r="X123" s="2"/>
    </row>
    <row r="124" spans="1:24">
      <c r="A124" s="1" t="s">
        <v>184</v>
      </c>
      <c r="B124" s="1" t="s">
        <v>185</v>
      </c>
      <c r="C124" s="9">
        <f>+payroll!G124</f>
        <v>2.4962121921757981E-3</v>
      </c>
      <c r="D124" s="9">
        <f>+IFR!T124</f>
        <v>2.2874400670834989E-3</v>
      </c>
      <c r="E124" s="9">
        <f>+claims!R124</f>
        <v>3.1941565016151614E-3</v>
      </c>
      <c r="F124" s="9">
        <f>+costs!L124</f>
        <v>1.3235510866582707E-3</v>
      </c>
      <c r="H124" s="28">
        <f t="shared" si="8"/>
        <v>1.8712106596446487E-3</v>
      </c>
      <c r="J124" s="2">
        <f t="shared" si="9"/>
        <v>97920.923923458497</v>
      </c>
      <c r="L124" s="7">
        <f>+J124/payroll!F124</f>
        <v>3.2462014807256778E-3</v>
      </c>
      <c r="O124" s="2">
        <v>112329.76730044553</v>
      </c>
      <c r="P124" s="17">
        <f t="shared" si="6"/>
        <v>-14408.843376987032</v>
      </c>
      <c r="R124" s="28">
        <v>1.8713084736455905E-3</v>
      </c>
      <c r="S124" s="9">
        <f t="shared" si="7"/>
        <v>-9.7814000941855855E-8</v>
      </c>
      <c r="U124" s="25"/>
      <c r="X124" s="2"/>
    </row>
    <row r="125" spans="1:24">
      <c r="A125" s="1" t="s">
        <v>534</v>
      </c>
      <c r="B125" s="1" t="s">
        <v>535</v>
      </c>
      <c r="C125" s="9">
        <f>+payroll!G125</f>
        <v>2.9407377240604003E-3</v>
      </c>
      <c r="D125" s="9">
        <f>+IFR!T125</f>
        <v>2.6554007041095073E-3</v>
      </c>
      <c r="E125" s="9">
        <f>+claims!R125</f>
        <v>5.725374861385666E-4</v>
      </c>
      <c r="F125" s="9">
        <f>+costs!L125</f>
        <v>1.3498231245280394E-4</v>
      </c>
      <c r="H125" s="28">
        <f t="shared" si="8"/>
        <v>8.6638731391370594E-4</v>
      </c>
      <c r="J125" s="2">
        <f t="shared" si="9"/>
        <v>45338.265799589113</v>
      </c>
      <c r="L125" s="7">
        <f>+J125/payroll!F125</f>
        <v>1.2758219815900225E-3</v>
      </c>
      <c r="O125" s="2">
        <v>52010.427714793143</v>
      </c>
      <c r="P125" s="17">
        <f t="shared" si="6"/>
        <v>-6672.1619152040294</v>
      </c>
      <c r="R125" s="28">
        <v>8.6644490093444582E-4</v>
      </c>
      <c r="S125" s="9">
        <f t="shared" si="7"/>
        <v>-5.7587020739881603E-8</v>
      </c>
      <c r="U125" s="25"/>
      <c r="V125" s="11"/>
      <c r="X125" s="2"/>
    </row>
    <row r="126" spans="1:24">
      <c r="A126" s="11" t="s">
        <v>551</v>
      </c>
      <c r="B126" s="11" t="s">
        <v>546</v>
      </c>
      <c r="C126" s="9">
        <f>+payroll!G126</f>
        <v>1.3070800781823735E-2</v>
      </c>
      <c r="D126" s="9">
        <f>+IFR!T126</f>
        <v>9.3579784079716316E-3</v>
      </c>
      <c r="E126" s="9">
        <f>+claims!R126</f>
        <v>5.782628609999522E-3</v>
      </c>
      <c r="F126" s="9">
        <f>+costs!L126</f>
        <v>2.1389435994323197E-3</v>
      </c>
      <c r="H126" s="28">
        <f t="shared" si="8"/>
        <v>4.954357849883741E-3</v>
      </c>
      <c r="J126" s="2">
        <f t="shared" si="9"/>
        <v>259262.79096773881</v>
      </c>
      <c r="L126" s="7">
        <f>+J126/payroll!F126</f>
        <v>1.6414190350660558E-3</v>
      </c>
      <c r="O126" s="2">
        <v>297416.22643133946</v>
      </c>
      <c r="P126" s="17">
        <f t="shared" si="6"/>
        <v>-38153.435463600646</v>
      </c>
      <c r="R126" s="28">
        <v>4.9546751328350142E-3</v>
      </c>
      <c r="S126" s="9">
        <f t="shared" si="7"/>
        <v>-3.1728295127320116E-7</v>
      </c>
      <c r="U126" s="25"/>
      <c r="X126" s="2"/>
    </row>
    <row r="127" spans="1:24">
      <c r="A127" s="1" t="s">
        <v>186</v>
      </c>
      <c r="B127" s="1" t="s">
        <v>187</v>
      </c>
      <c r="C127" s="9">
        <f>+payroll!G127</f>
        <v>2.56863872288633E-3</v>
      </c>
      <c r="D127" s="9">
        <f>+IFR!T127</f>
        <v>1.5684726499279355E-3</v>
      </c>
      <c r="E127" s="9">
        <f>+claims!R127</f>
        <v>0</v>
      </c>
      <c r="F127" s="9">
        <f>+costs!L127</f>
        <v>0</v>
      </c>
      <c r="H127" s="28">
        <f t="shared" si="8"/>
        <v>5.1713892160178316E-4</v>
      </c>
      <c r="J127" s="2">
        <f t="shared" si="9"/>
        <v>27062.009688232589</v>
      </c>
      <c r="L127" s="7">
        <f>+J127/payroll!F127</f>
        <v>8.7184340927246539E-4</v>
      </c>
      <c r="O127" s="2">
        <v>31045.028537793878</v>
      </c>
      <c r="P127" s="17">
        <f t="shared" si="6"/>
        <v>-3983.0188495612892</v>
      </c>
      <c r="R127" s="28">
        <v>5.1718103191612721E-4</v>
      </c>
      <c r="S127" s="9">
        <f t="shared" si="7"/>
        <v>-4.2110314344041833E-8</v>
      </c>
      <c r="U127" s="25"/>
      <c r="X127" s="2"/>
    </row>
    <row r="128" spans="1:24">
      <c r="A128" s="1" t="s">
        <v>188</v>
      </c>
      <c r="B128" s="1" t="s">
        <v>525</v>
      </c>
      <c r="C128" s="9">
        <f>+payroll!G128</f>
        <v>7.44778128729711E-4</v>
      </c>
      <c r="D128" s="9">
        <f>+IFR!T128</f>
        <v>3.0386175181803626E-4</v>
      </c>
      <c r="E128" s="9">
        <f>+claims!R128</f>
        <v>1.7176124584156996E-4</v>
      </c>
      <c r="F128" s="9">
        <f>+costs!L128</f>
        <v>7.4824192596825167E-5</v>
      </c>
      <c r="H128" s="28">
        <f t="shared" si="8"/>
        <v>2.0173868750279899E-4</v>
      </c>
      <c r="J128" s="2">
        <f t="shared" si="9"/>
        <v>10557.036199831933</v>
      </c>
      <c r="L128" s="7">
        <f>+J128/payroll!F128</f>
        <v>1.1729960918810812E-3</v>
      </c>
      <c r="O128" s="2">
        <v>12110.776928307441</v>
      </c>
      <c r="P128" s="17">
        <f t="shared" si="6"/>
        <v>-1553.7407284755081</v>
      </c>
      <c r="R128" s="28">
        <v>2.0175417463259843E-4</v>
      </c>
      <c r="S128" s="9">
        <f t="shared" si="7"/>
        <v>-1.5487129799435099E-8</v>
      </c>
      <c r="U128" s="25"/>
      <c r="X128" s="2"/>
    </row>
    <row r="129" spans="1:24">
      <c r="A129" s="1" t="s">
        <v>189</v>
      </c>
      <c r="B129" s="1" t="s">
        <v>190</v>
      </c>
      <c r="C129" s="9">
        <f>+payroll!G129</f>
        <v>7.5640865183003499E-3</v>
      </c>
      <c r="D129" s="9">
        <f>+IFR!T129</f>
        <v>6.4413185396715762E-3</v>
      </c>
      <c r="E129" s="9">
        <f>+claims!R129</f>
        <v>1.832119955643413E-3</v>
      </c>
      <c r="F129" s="9">
        <f>+costs!L129</f>
        <v>4.0949157598173426E-4</v>
      </c>
      <c r="H129" s="28">
        <f t="shared" si="8"/>
        <v>2.271188571182043E-3</v>
      </c>
      <c r="J129" s="2">
        <f t="shared" si="9"/>
        <v>118851.86852066105</v>
      </c>
      <c r="L129" s="7">
        <f>+J129/payroll!F129</f>
        <v>1.3002623732209484E-3</v>
      </c>
      <c r="O129" s="2">
        <v>136342.83482243982</v>
      </c>
      <c r="P129" s="17">
        <f t="shared" si="6"/>
        <v>-17490.966301778768</v>
      </c>
      <c r="R129" s="28">
        <v>2.2713436362925749E-3</v>
      </c>
      <c r="S129" s="9">
        <f t="shared" si="7"/>
        <v>-1.550651105319302E-7</v>
      </c>
      <c r="U129" s="25"/>
      <c r="X129" s="2"/>
    </row>
    <row r="130" spans="1:24">
      <c r="A130" s="1" t="s">
        <v>191</v>
      </c>
      <c r="B130" s="1" t="s">
        <v>526</v>
      </c>
      <c r="C130" s="9">
        <f>+payroll!G130</f>
        <v>8.402881527008445E-4</v>
      </c>
      <c r="D130" s="9">
        <f>+IFR!T130</f>
        <v>8.643714022837411E-4</v>
      </c>
      <c r="E130" s="9">
        <f>+claims!R130</f>
        <v>2.862687430692833E-4</v>
      </c>
      <c r="F130" s="9">
        <f>+costs!L130</f>
        <v>5.0806108421901829E-5</v>
      </c>
      <c r="H130" s="28">
        <f t="shared" si="8"/>
        <v>2.8650642088660677E-4</v>
      </c>
      <c r="J130" s="2">
        <f t="shared" si="9"/>
        <v>14992.952984004252</v>
      </c>
      <c r="L130" s="7">
        <f>+J130/payroll!F130</f>
        <v>1.4765236503010968E-3</v>
      </c>
      <c r="O130" s="2">
        <v>17199.34693713635</v>
      </c>
      <c r="P130" s="17">
        <f t="shared" si="6"/>
        <v>-2206.3939531320975</v>
      </c>
      <c r="R130" s="28">
        <v>2.8652497408410398E-4</v>
      </c>
      <c r="S130" s="9">
        <f t="shared" si="7"/>
        <v>-1.8553197497208837E-8</v>
      </c>
      <c r="U130" s="25"/>
      <c r="X130" s="2"/>
    </row>
    <row r="131" spans="1:24">
      <c r="A131" s="1" t="s">
        <v>192</v>
      </c>
      <c r="B131" s="1" t="s">
        <v>527</v>
      </c>
      <c r="C131" s="9">
        <f>+payroll!G131</f>
        <v>8.7764532518762501E-4</v>
      </c>
      <c r="D131" s="9">
        <f>+IFR!T131</f>
        <v>1.1787404158860478E-3</v>
      </c>
      <c r="E131" s="9">
        <f>+claims!R131</f>
        <v>3.4352249168313992E-4</v>
      </c>
      <c r="F131" s="9">
        <f>+costs!L131</f>
        <v>1.4617573703717829E-3</v>
      </c>
      <c r="H131" s="28">
        <f t="shared" si="8"/>
        <v>1.1856310136097498E-3</v>
      </c>
      <c r="J131" s="2">
        <f t="shared" si="9"/>
        <v>62044.368808277759</v>
      </c>
      <c r="L131" s="7">
        <f>+J131/payroll!F131</f>
        <v>5.8501202866578818E-3</v>
      </c>
      <c r="O131" s="2">
        <v>71171.530354710252</v>
      </c>
      <c r="P131" s="17">
        <f t="shared" si="6"/>
        <v>-9127.1615464324932</v>
      </c>
      <c r="R131" s="28">
        <v>1.1856508834285229E-3</v>
      </c>
      <c r="S131" s="9">
        <f t="shared" si="7"/>
        <v>-1.9869818773188622E-8</v>
      </c>
      <c r="U131" s="25"/>
      <c r="X131" s="2"/>
    </row>
    <row r="132" spans="1:24">
      <c r="A132" s="1" t="s">
        <v>193</v>
      </c>
      <c r="B132" s="1" t="s">
        <v>488</v>
      </c>
      <c r="C132" s="9">
        <f>+payroll!G132</f>
        <v>1.1197172186551815E-3</v>
      </c>
      <c r="D132" s="9">
        <f>+IFR!T132</f>
        <v>1.3029463444887541E-3</v>
      </c>
      <c r="E132" s="9">
        <f>+claims!R132</f>
        <v>2.2901499445542663E-4</v>
      </c>
      <c r="F132" s="9">
        <f>+costs!L132</f>
        <v>5.3776091026994856E-5</v>
      </c>
      <c r="H132" s="28">
        <f t="shared" si="8"/>
        <v>3.6945084917750285E-4</v>
      </c>
      <c r="J132" s="2">
        <f t="shared" si="9"/>
        <v>19333.455754595565</v>
      </c>
      <c r="L132" s="7">
        <f>+J132/payroll!F132</f>
        <v>1.4288367148745738E-3</v>
      </c>
      <c r="O132" s="2">
        <v>22178.479221335368</v>
      </c>
      <c r="P132" s="17">
        <f t="shared" ref="P132:P139" si="10">+J132-O132</f>
        <v>-2845.0234667398036</v>
      </c>
      <c r="R132" s="28">
        <v>3.6947264377795003E-4</v>
      </c>
      <c r="S132" s="9">
        <f t="shared" ref="S132:S139" si="11">+H132-R132</f>
        <v>-2.1794600447186223E-8</v>
      </c>
      <c r="U132" s="25"/>
      <c r="X132" s="2"/>
    </row>
    <row r="133" spans="1:24">
      <c r="A133" s="1" t="s">
        <v>194</v>
      </c>
      <c r="B133" s="1" t="s">
        <v>528</v>
      </c>
      <c r="C133" s="9">
        <f>+payroll!G133</f>
        <v>1.6288547004667864E-2</v>
      </c>
      <c r="D133" s="9">
        <f>+IFR!T133</f>
        <v>1.6811664738071764E-2</v>
      </c>
      <c r="E133" s="9">
        <f>+claims!R133</f>
        <v>1.7004363338315426E-2</v>
      </c>
      <c r="F133" s="9">
        <f>+costs!L133</f>
        <v>2.3555527381563985E-2</v>
      </c>
      <c r="H133" s="28">
        <f t="shared" ref="H133:H139" si="12">(C133*$C$3)+(D133*$D$3)+(E133*$E$3)+(F133*$F$3)</f>
        <v>2.0821497397528158E-2</v>
      </c>
      <c r="J133" s="2">
        <f t="shared" ref="J133:J143" si="13">(+H133*$J$272)</f>
        <v>1089594.1897974398</v>
      </c>
      <c r="L133" s="7">
        <f>+J133/payroll!F133</f>
        <v>5.5355898239111993E-3</v>
      </c>
      <c r="O133" s="2">
        <v>1249894.2048218958</v>
      </c>
      <c r="P133" s="17">
        <f t="shared" si="10"/>
        <v>-160300.01502445596</v>
      </c>
      <c r="R133" s="28">
        <v>2.0822064114028073E-2</v>
      </c>
      <c r="S133" s="9">
        <f t="shared" si="11"/>
        <v>-5.6671649991540951E-7</v>
      </c>
      <c r="U133" s="25"/>
      <c r="X133" s="2"/>
    </row>
    <row r="134" spans="1:24">
      <c r="A134" s="1" t="s">
        <v>195</v>
      </c>
      <c r="B134" s="1" t="s">
        <v>196</v>
      </c>
      <c r="C134" s="9">
        <f>+payroll!G134</f>
        <v>1.6091283724695581E-3</v>
      </c>
      <c r="D134" s="9">
        <f>+IFR!T134</f>
        <v>1.7007081453963506E-3</v>
      </c>
      <c r="E134" s="9">
        <f>+claims!R134</f>
        <v>8.0155248059399328E-4</v>
      </c>
      <c r="F134" s="9">
        <f>+costs!L134</f>
        <v>5.5432540782271694E-4</v>
      </c>
      <c r="H134" s="28">
        <f t="shared" si="12"/>
        <v>8.6655768151596769E-4</v>
      </c>
      <c r="J134" s="2">
        <f t="shared" si="13"/>
        <v>45347.181179016923</v>
      </c>
      <c r="L134" s="7">
        <f>+J134/payroll!F134</f>
        <v>2.3320672639760417E-3</v>
      </c>
      <c r="O134" s="2">
        <v>52019.602245582631</v>
      </c>
      <c r="P134" s="17">
        <f t="shared" si="10"/>
        <v>-6672.4210665657083</v>
      </c>
      <c r="R134" s="28">
        <v>8.6659774000480698E-4</v>
      </c>
      <c r="S134" s="9">
        <f t="shared" si="11"/>
        <v>-4.0058488839293631E-8</v>
      </c>
      <c r="U134" s="25"/>
      <c r="X134" s="2"/>
    </row>
    <row r="135" spans="1:24">
      <c r="A135" s="1" t="s">
        <v>197</v>
      </c>
      <c r="B135" s="1" t="s">
        <v>198</v>
      </c>
      <c r="C135" s="9">
        <f>+payroll!G135</f>
        <v>1.1477013225949563E-3</v>
      </c>
      <c r="D135" s="9">
        <f>+IFR!T135</f>
        <v>1.0437289844440587E-3</v>
      </c>
      <c r="E135" s="9">
        <f>+claims!R135</f>
        <v>5.725374861385666E-4</v>
      </c>
      <c r="F135" s="9">
        <f>+costs!L135</f>
        <v>3.7813101946784815E-4</v>
      </c>
      <c r="H135" s="28">
        <f t="shared" si="12"/>
        <v>5.8668802298137074E-4</v>
      </c>
      <c r="J135" s="2">
        <f t="shared" si="13"/>
        <v>30701.531636247146</v>
      </c>
      <c r="L135" s="7">
        <f>+J135/payroll!F135</f>
        <v>2.2136687231659384E-3</v>
      </c>
      <c r="O135" s="2">
        <v>35219.079455010506</v>
      </c>
      <c r="P135" s="17">
        <f t="shared" si="10"/>
        <v>-4517.5478187633598</v>
      </c>
      <c r="R135" s="28">
        <v>5.8671680180625717E-4</v>
      </c>
      <c r="S135" s="9">
        <f t="shared" si="11"/>
        <v>-2.8778824886425795E-8</v>
      </c>
      <c r="U135" s="25"/>
      <c r="X135" s="2"/>
    </row>
    <row r="136" spans="1:24">
      <c r="A136" s="1" t="s">
        <v>199</v>
      </c>
      <c r="B136" s="1" t="s">
        <v>200</v>
      </c>
      <c r="C136" s="9">
        <f>+payroll!G136</f>
        <v>8.2482640316063817E-5</v>
      </c>
      <c r="D136" s="9">
        <f>+IFR!T136</f>
        <v>7.5454986918046133E-5</v>
      </c>
      <c r="E136" s="9">
        <f>+claims!R136</f>
        <v>0</v>
      </c>
      <c r="F136" s="9">
        <f>+costs!L136</f>
        <v>0</v>
      </c>
      <c r="H136" s="28">
        <f t="shared" si="12"/>
        <v>1.9742203404263744E-5</v>
      </c>
      <c r="J136" s="2">
        <f t="shared" si="13"/>
        <v>1033.1144639788831</v>
      </c>
      <c r="L136" s="7">
        <f>+J136/payroll!F136</f>
        <v>1.0364953459581431E-3</v>
      </c>
      <c r="O136" s="2">
        <v>1185.152442803173</v>
      </c>
      <c r="P136" s="17">
        <f t="shared" si="10"/>
        <v>-152.03797882428989</v>
      </c>
      <c r="R136" s="28">
        <v>1.9743527135131458E-5</v>
      </c>
      <c r="S136" s="9">
        <f t="shared" si="11"/>
        <v>-1.3237308677138844E-9</v>
      </c>
      <c r="U136" s="25"/>
      <c r="X136" s="2"/>
    </row>
    <row r="137" spans="1:24">
      <c r="A137" s="1" t="s">
        <v>201</v>
      </c>
      <c r="B137" s="1" t="s">
        <v>450</v>
      </c>
      <c r="C137" s="9">
        <f>+payroll!G137</f>
        <v>7.0439331280052159E-5</v>
      </c>
      <c r="D137" s="9">
        <f>+IFR!T137</f>
        <v>2.5144015099476609E-5</v>
      </c>
      <c r="E137" s="9">
        <f>+claims!R137</f>
        <v>0</v>
      </c>
      <c r="F137" s="9">
        <f>+costs!L137</f>
        <v>0</v>
      </c>
      <c r="H137" s="28">
        <f t="shared" si="12"/>
        <v>1.1947918297441095E-5</v>
      </c>
      <c r="J137" s="2">
        <f t="shared" si="13"/>
        <v>625.23756618060645</v>
      </c>
      <c r="L137" s="7">
        <f>+J137/payroll!F137</f>
        <v>7.3453299437816616E-4</v>
      </c>
      <c r="O137" s="2">
        <v>717.27291188961613</v>
      </c>
      <c r="P137" s="17">
        <f t="shared" si="10"/>
        <v>-92.035345709009675</v>
      </c>
      <c r="R137" s="28">
        <v>1.1949093372066142E-5</v>
      </c>
      <c r="S137" s="9">
        <f t="shared" si="11"/>
        <v>-1.1750746250468796E-9</v>
      </c>
      <c r="U137" s="25"/>
      <c r="X137" s="2"/>
    </row>
    <row r="138" spans="1:24">
      <c r="A138" s="1" t="s">
        <v>567</v>
      </c>
      <c r="B138" s="1" t="s">
        <v>569</v>
      </c>
      <c r="C138" s="9">
        <f>+payroll!G138</f>
        <v>5.0700669702474302E-5</v>
      </c>
      <c r="D138" s="9">
        <f>+IFR!T138</f>
        <v>7.4330847556846905E-5</v>
      </c>
      <c r="E138" s="9">
        <f>+claims!R138</f>
        <v>0</v>
      </c>
      <c r="F138" s="9">
        <f>+costs!L138</f>
        <v>0</v>
      </c>
      <c r="H138" s="28">
        <f t="shared" si="12"/>
        <v>1.5628939657415151E-5</v>
      </c>
      <c r="J138" s="2">
        <f t="shared" si="13"/>
        <v>817.86633873104506</v>
      </c>
      <c r="L138" s="7">
        <f>+J138/payroll!F138</f>
        <v>1.334904223708153E-3</v>
      </c>
      <c r="O138" s="2">
        <v>938.21142486560871</v>
      </c>
      <c r="P138" s="17">
        <f t="shared" si="10"/>
        <v>-120.34508613456364</v>
      </c>
      <c r="R138" s="28">
        <v>1.562972159219592E-5</v>
      </c>
      <c r="S138" s="9">
        <f t="shared" si="11"/>
        <v>-7.8193478076951889E-10</v>
      </c>
      <c r="U138" s="25"/>
      <c r="X138" s="2"/>
    </row>
    <row r="139" spans="1:24">
      <c r="A139" s="1" t="s">
        <v>568</v>
      </c>
      <c r="B139" s="1" t="s">
        <v>570</v>
      </c>
      <c r="C139" s="9">
        <f>+payroll!G139</f>
        <v>1.2714736964923119E-3</v>
      </c>
      <c r="D139" s="9">
        <f>+IFR!T139</f>
        <v>4.552076164268384E-4</v>
      </c>
      <c r="E139" s="9">
        <f>+claims!R139</f>
        <v>0</v>
      </c>
      <c r="F139" s="9">
        <f>+costs!L139</f>
        <v>0</v>
      </c>
      <c r="H139" s="28">
        <f t="shared" si="12"/>
        <v>2.1583516411489379E-4</v>
      </c>
      <c r="J139" s="2">
        <f t="shared" si="13"/>
        <v>11294.708362400674</v>
      </c>
      <c r="L139" s="7">
        <f>+J139/payroll!F139</f>
        <v>7.3510454929291941E-4</v>
      </c>
      <c r="O139" s="2">
        <v>12957.295142826577</v>
      </c>
      <c r="P139" s="17">
        <f t="shared" si="10"/>
        <v>-1662.5867804259033</v>
      </c>
      <c r="R139" s="28">
        <v>2.1585637341743212E-4</v>
      </c>
      <c r="S139" s="9">
        <f t="shared" si="11"/>
        <v>-2.1209302538332609E-8</v>
      </c>
      <c r="U139" s="25"/>
      <c r="X139" s="2"/>
    </row>
    <row r="140" spans="1:24" outlineLevel="1">
      <c r="A140" s="1" t="s">
        <v>202</v>
      </c>
      <c r="B140" s="1" t="s">
        <v>203</v>
      </c>
      <c r="C140" s="9">
        <f>+payroll!G140</f>
        <v>7.8805117802564241E-5</v>
      </c>
      <c r="D140" s="9">
        <f>+IFR!T140</f>
        <v>8.6260489757328514E-5</v>
      </c>
      <c r="E140" s="9">
        <f>+claims!R140</f>
        <v>0</v>
      </c>
      <c r="F140" s="9">
        <f>+costs!L140</f>
        <v>0</v>
      </c>
      <c r="H140" s="28">
        <f t="shared" ref="H140:H203" si="14">(C140*$C$3)+(D140*$D$3)+(E140*$E$3)+(F140*$F$3)</f>
        <v>2.0633200944986593E-5</v>
      </c>
      <c r="J140" s="2">
        <f t="shared" si="13"/>
        <v>1079.7405891302219</v>
      </c>
      <c r="L140" s="7">
        <f>+J140/payroll!F140</f>
        <v>1.133826162536541E-3</v>
      </c>
      <c r="O140" s="2">
        <v>1238.6321927823999</v>
      </c>
      <c r="P140" s="17">
        <f t="shared" ref="P140:P203" si="15">+J140-O140</f>
        <v>-158.89160365217799</v>
      </c>
      <c r="R140" s="28">
        <v>2.0634449565664954E-5</v>
      </c>
      <c r="S140" s="9">
        <f t="shared" ref="S140:S172" si="16">+H140-R140</f>
        <v>-1.2486206783614349E-9</v>
      </c>
      <c r="U140" s="25"/>
      <c r="X140" s="2"/>
    </row>
    <row r="141" spans="1:24" outlineLevel="1">
      <c r="A141" s="1" t="s">
        <v>204</v>
      </c>
      <c r="B141" s="1" t="s">
        <v>205</v>
      </c>
      <c r="C141" s="9">
        <f>+payroll!G141</f>
        <v>1.958717528204131E-5</v>
      </c>
      <c r="D141" s="9">
        <f>+IFR!T141</f>
        <v>3.8541920955402104E-5</v>
      </c>
      <c r="E141" s="9">
        <f>+claims!R141</f>
        <v>0</v>
      </c>
      <c r="F141" s="9">
        <f>+costs!L141</f>
        <v>0</v>
      </c>
      <c r="H141" s="28">
        <f t="shared" si="14"/>
        <v>7.2661370296804268E-6</v>
      </c>
      <c r="J141" s="2">
        <f t="shared" si="13"/>
        <v>380.23877623478273</v>
      </c>
      <c r="L141" s="7">
        <f>+J141/payroll!F141</f>
        <v>1.6064457458731568E-3</v>
      </c>
      <c r="O141" s="2">
        <v>436.18471936966455</v>
      </c>
      <c r="P141" s="17">
        <f t="shared" si="15"/>
        <v>-55.945943134881816</v>
      </c>
      <c r="R141" s="28">
        <v>7.2664279562514483E-6</v>
      </c>
      <c r="S141" s="9">
        <f t="shared" si="16"/>
        <v>-2.9092657102147311E-10</v>
      </c>
      <c r="U141" s="25"/>
      <c r="X141" s="2"/>
    </row>
    <row r="142" spans="1:24" outlineLevel="1">
      <c r="A142" s="1" t="s">
        <v>206</v>
      </c>
      <c r="B142" s="1" t="s">
        <v>207</v>
      </c>
      <c r="C142" s="9">
        <f>+payroll!G142</f>
        <v>8.4886291896745138E-5</v>
      </c>
      <c r="D142" s="9">
        <f>+IFR!T142</f>
        <v>1.156257628662063E-4</v>
      </c>
      <c r="E142" s="9">
        <f>+claims!R142</f>
        <v>0</v>
      </c>
      <c r="F142" s="9">
        <f>+costs!L142</f>
        <v>2.6500802570458441E-6</v>
      </c>
      <c r="H142" s="28">
        <f t="shared" si="14"/>
        <v>2.6654054999596436E-5</v>
      </c>
      <c r="J142" s="2">
        <f t="shared" si="13"/>
        <v>1394.8133944271192</v>
      </c>
      <c r="L142" s="7">
        <f>+J142/payroll!F142</f>
        <v>1.3597529686509605E-3</v>
      </c>
      <c r="O142" s="2">
        <v>1600.0525950976617</v>
      </c>
      <c r="P142" s="17">
        <f t="shared" si="15"/>
        <v>-205.23920067054246</v>
      </c>
      <c r="R142" s="28">
        <v>2.6655374184799859E-5</v>
      </c>
      <c r="S142" s="9">
        <f t="shared" si="16"/>
        <v>-1.3191852034233494E-9</v>
      </c>
      <c r="U142" s="25"/>
      <c r="X142" s="2"/>
    </row>
    <row r="143" spans="1:24" outlineLevel="1">
      <c r="A143" s="1" t="s">
        <v>491</v>
      </c>
      <c r="B143" s="1" t="s">
        <v>559</v>
      </c>
      <c r="C143" s="9">
        <f>+payroll!G143</f>
        <v>8.7429469820448773E-5</v>
      </c>
      <c r="D143" s="9">
        <f>+IFR!T143</f>
        <v>1.2847306985134033E-4</v>
      </c>
      <c r="E143" s="9">
        <f>+claims!R143</f>
        <v>1.1450749722771331E-4</v>
      </c>
      <c r="F143" s="9">
        <f>+costs!L143</f>
        <v>2.0402221030578774E-5</v>
      </c>
      <c r="H143" s="28">
        <f t="shared" si="14"/>
        <v>5.6405274661477901E-5</v>
      </c>
      <c r="J143" s="2">
        <f t="shared" si="13"/>
        <v>2951.702193732292</v>
      </c>
      <c r="L143" s="7">
        <f>+J143/payroll!F143</f>
        <v>2.7938054633149649E-3</v>
      </c>
      <c r="O143" s="2">
        <v>3386.0667433561302</v>
      </c>
      <c r="P143" s="17">
        <f t="shared" si="15"/>
        <v>-434.36454962383823</v>
      </c>
      <c r="R143" s="28">
        <v>5.6408693273832892E-5</v>
      </c>
      <c r="S143" s="9">
        <f t="shared" si="16"/>
        <v>-3.4186123549915159E-9</v>
      </c>
      <c r="U143" s="25"/>
      <c r="X143" s="2"/>
    </row>
    <row r="144" spans="1:24" outlineLevel="1">
      <c r="A144" s="48" t="s">
        <v>595</v>
      </c>
      <c r="B144" s="48" t="s">
        <v>596</v>
      </c>
      <c r="C144" s="9">
        <f>+payroll!G144</f>
        <v>1.751332329510327E-5</v>
      </c>
      <c r="D144" s="9">
        <f>+IFR!T144</f>
        <v>2.6612278754920499E-5</v>
      </c>
      <c r="E144" s="9">
        <f>+claims!R144</f>
        <v>0</v>
      </c>
      <c r="F144" s="9">
        <f>+costs!L144</f>
        <v>0</v>
      </c>
      <c r="H144" s="28">
        <f t="shared" si="14"/>
        <v>5.5157002562529711E-6</v>
      </c>
      <c r="J144" s="2">
        <f t="shared" ref="J144:J207" si="17">(+H144*$J$272)</f>
        <v>288.63798011909336</v>
      </c>
      <c r="L144" s="7">
        <f>+J144/payroll!F144</f>
        <v>1.3638492867277252E-3</v>
      </c>
      <c r="O144" s="2">
        <v>331.10925102847244</v>
      </c>
      <c r="P144" s="17">
        <f t="shared" si="15"/>
        <v>-42.471270909379086</v>
      </c>
      <c r="R144" s="28">
        <v>5.5159692932931756E-6</v>
      </c>
      <c r="S144" s="9">
        <f t="shared" si="16"/>
        <v>-2.6903704020446104E-10</v>
      </c>
      <c r="U144" s="25"/>
      <c r="X144" s="2"/>
    </row>
    <row r="145" spans="1:24" outlineLevel="1">
      <c r="A145" s="1" t="s">
        <v>208</v>
      </c>
      <c r="B145" s="1" t="s">
        <v>209</v>
      </c>
      <c r="C145" s="9">
        <f>+payroll!G145</f>
        <v>9.9881547844676309E-5</v>
      </c>
      <c r="D145" s="9">
        <f>+IFR!T145</f>
        <v>1.3122606420529762E-4</v>
      </c>
      <c r="E145" s="9">
        <f>+claims!R145</f>
        <v>0</v>
      </c>
      <c r="F145" s="9">
        <f>+costs!L145</f>
        <v>0</v>
      </c>
      <c r="H145" s="28">
        <f t="shared" si="14"/>
        <v>2.8888451506246743E-5</v>
      </c>
      <c r="J145" s="2">
        <f t="shared" si="17"/>
        <v>1511.7399249675641</v>
      </c>
      <c r="L145" s="7">
        <f>+J145/payroll!F145</f>
        <v>1.2524871763928828E-3</v>
      </c>
      <c r="O145" s="2">
        <v>1734.1919075134347</v>
      </c>
      <c r="P145" s="17">
        <f t="shared" si="15"/>
        <v>-222.45198254587058</v>
      </c>
      <c r="R145" s="28">
        <v>2.8890009206354235E-5</v>
      </c>
      <c r="S145" s="9">
        <f t="shared" si="16"/>
        <v>-1.5577001074922828E-9</v>
      </c>
      <c r="U145" s="25"/>
      <c r="X145" s="2"/>
    </row>
    <row r="146" spans="1:24" outlineLevel="1">
      <c r="A146" s="1" t="s">
        <v>210</v>
      </c>
      <c r="B146" s="1" t="s">
        <v>211</v>
      </c>
      <c r="C146" s="9">
        <f>+payroll!G146</f>
        <v>5.2967936917141359E-6</v>
      </c>
      <c r="D146" s="9">
        <f>+IFR!T146</f>
        <v>1.1011977415829171E-5</v>
      </c>
      <c r="E146" s="9">
        <f>+claims!R146</f>
        <v>0</v>
      </c>
      <c r="F146" s="9">
        <f>+costs!L146</f>
        <v>0</v>
      </c>
      <c r="H146" s="28">
        <f t="shared" si="14"/>
        <v>2.0385963884429134E-6</v>
      </c>
      <c r="J146" s="2">
        <f t="shared" si="17"/>
        <v>106.68026116378833</v>
      </c>
      <c r="L146" s="7">
        <f>+J146/payroll!F146</f>
        <v>1.6666809887041811E-3</v>
      </c>
      <c r="O146" s="2">
        <v>122.37630688362006</v>
      </c>
      <c r="P146" s="17">
        <f t="shared" si="15"/>
        <v>-15.69604571983173</v>
      </c>
      <c r="R146" s="28">
        <v>2.0386743919112804E-6</v>
      </c>
      <c r="S146" s="9">
        <f t="shared" si="16"/>
        <v>-7.8003468367020452E-11</v>
      </c>
      <c r="U146" s="25"/>
      <c r="X146" s="2"/>
    </row>
    <row r="147" spans="1:24" outlineLevel="1">
      <c r="A147" s="1" t="s">
        <v>212</v>
      </c>
      <c r="B147" s="1" t="s">
        <v>213</v>
      </c>
      <c r="C147" s="9">
        <f>+payroll!G147</f>
        <v>2.4814386713145555E-4</v>
      </c>
      <c r="D147" s="9">
        <f>+IFR!T147</f>
        <v>3.5330094209118596E-4</v>
      </c>
      <c r="E147" s="9">
        <f>+claims!R147</f>
        <v>2.862687430692833E-4</v>
      </c>
      <c r="F147" s="9">
        <f>+costs!L147</f>
        <v>4.6356658008041515E-5</v>
      </c>
      <c r="H147" s="28">
        <f t="shared" si="14"/>
        <v>1.4593490741804759E-4</v>
      </c>
      <c r="J147" s="2">
        <f t="shared" si="17"/>
        <v>7636.810368413222</v>
      </c>
      <c r="L147" s="7">
        <f>+J147/payroll!F147</f>
        <v>2.5467711974225642E-3</v>
      </c>
      <c r="O147" s="2">
        <v>8760.6330611997055</v>
      </c>
      <c r="P147" s="17">
        <f t="shared" si="15"/>
        <v>-1123.8226927864835</v>
      </c>
      <c r="R147" s="28">
        <v>1.4594392275446027E-4</v>
      </c>
      <c r="S147" s="9">
        <f t="shared" si="16"/>
        <v>-9.0153364126744316E-9</v>
      </c>
      <c r="U147" s="25"/>
      <c r="X147" s="2"/>
    </row>
    <row r="148" spans="1:24" outlineLevel="1">
      <c r="A148" s="1" t="s">
        <v>214</v>
      </c>
      <c r="B148" s="1" t="s">
        <v>215</v>
      </c>
      <c r="C148" s="9">
        <f>+payroll!G148</f>
        <v>1.6798633792194184E-3</v>
      </c>
      <c r="D148" s="9">
        <f>+IFR!T148</f>
        <v>2.2680085152684834E-3</v>
      </c>
      <c r="E148" s="9">
        <f>+claims!R148</f>
        <v>1.2595824695048464E-3</v>
      </c>
      <c r="F148" s="9">
        <f>+costs!L148</f>
        <v>8.8210637533836858E-4</v>
      </c>
      <c r="H148" s="28">
        <f t="shared" si="14"/>
        <v>1.2116851824397357E-3</v>
      </c>
      <c r="J148" s="2">
        <f t="shared" si="17"/>
        <v>63407.790008739757</v>
      </c>
      <c r="L148" s="7">
        <f>+J148/payroll!F148</f>
        <v>3.1235619450266628E-3</v>
      </c>
      <c r="O148" s="2">
        <v>72737.237077533384</v>
      </c>
      <c r="P148" s="17">
        <f t="shared" si="15"/>
        <v>-9329.4470687936264</v>
      </c>
      <c r="R148" s="28">
        <v>1.2117340876234201E-3</v>
      </c>
      <c r="S148" s="9">
        <f t="shared" si="16"/>
        <v>-4.8905183684406356E-8</v>
      </c>
      <c r="U148" s="25"/>
      <c r="X148" s="2"/>
    </row>
    <row r="149" spans="1:24" outlineLevel="1">
      <c r="A149" s="1" t="s">
        <v>216</v>
      </c>
      <c r="B149" s="1" t="s">
        <v>217</v>
      </c>
      <c r="C149" s="9">
        <f>+payroll!G149</f>
        <v>2.7967868162178143E-4</v>
      </c>
      <c r="D149" s="9">
        <f>+IFR!T149</f>
        <v>4.4139676141781935E-4</v>
      </c>
      <c r="E149" s="9">
        <f>+claims!R149</f>
        <v>0</v>
      </c>
      <c r="F149" s="9">
        <f>+costs!L149</f>
        <v>0</v>
      </c>
      <c r="H149" s="28">
        <f t="shared" si="14"/>
        <v>9.013443037995009E-5</v>
      </c>
      <c r="J149" s="2">
        <f t="shared" si="17"/>
        <v>4716.7573862557329</v>
      </c>
      <c r="L149" s="7">
        <f>+J149/payroll!F149</f>
        <v>1.3956150479290555E-3</v>
      </c>
      <c r="O149" s="2">
        <v>5410.7915669213135</v>
      </c>
      <c r="P149" s="17">
        <f t="shared" si="15"/>
        <v>-694.03418066558061</v>
      </c>
      <c r="R149" s="28">
        <v>9.0138708123806442E-5</v>
      </c>
      <c r="S149" s="9">
        <f t="shared" si="16"/>
        <v>-4.2777438563515284E-9</v>
      </c>
      <c r="U149" s="25"/>
      <c r="X149" s="2"/>
    </row>
    <row r="150" spans="1:24" outlineLevel="1">
      <c r="A150" s="1" t="s">
        <v>218</v>
      </c>
      <c r="B150" s="1" t="s">
        <v>219</v>
      </c>
      <c r="C150" s="9">
        <f>+payroll!G150</f>
        <v>3.4525693726104032E-4</v>
      </c>
      <c r="D150" s="9">
        <f>+IFR!T150</f>
        <v>4.2258463333244448E-4</v>
      </c>
      <c r="E150" s="9">
        <f>+claims!R150</f>
        <v>0</v>
      </c>
      <c r="F150" s="9">
        <f>+costs!L150</f>
        <v>1.2206460960954379E-5</v>
      </c>
      <c r="H150" s="28">
        <f t="shared" si="14"/>
        <v>1.0330407290075822E-4</v>
      </c>
      <c r="J150" s="2">
        <f t="shared" si="17"/>
        <v>5405.928087978913</v>
      </c>
      <c r="L150" s="7">
        <f>+J150/payroll!F150</f>
        <v>1.2957145022123703E-3</v>
      </c>
      <c r="O150" s="2">
        <v>6201.3994079686918</v>
      </c>
      <c r="P150" s="17">
        <f t="shared" si="15"/>
        <v>-795.47131998977875</v>
      </c>
      <c r="R150" s="28">
        <v>1.0330949257246911E-4</v>
      </c>
      <c r="S150" s="9">
        <f t="shared" si="16"/>
        <v>-5.4196717108866707E-9</v>
      </c>
      <c r="U150" s="25"/>
      <c r="X150" s="2"/>
    </row>
    <row r="151" spans="1:24" outlineLevel="1">
      <c r="A151" s="1" t="s">
        <v>220</v>
      </c>
      <c r="B151" s="1" t="s">
        <v>221</v>
      </c>
      <c r="C151" s="9">
        <f>+payroll!G151</f>
        <v>2.0303802090100454E-4</v>
      </c>
      <c r="D151" s="9">
        <f>+IFR!T151</f>
        <v>2.6336979319524772E-4</v>
      </c>
      <c r="E151" s="9">
        <f>+claims!R151</f>
        <v>0</v>
      </c>
      <c r="F151" s="9">
        <f>+costs!L151</f>
        <v>0</v>
      </c>
      <c r="H151" s="28">
        <f t="shared" si="14"/>
        <v>5.8300976762031535E-5</v>
      </c>
      <c r="J151" s="2">
        <f t="shared" si="17"/>
        <v>3050.9047609115023</v>
      </c>
      <c r="L151" s="7">
        <f>+J151/payroll!F151</f>
        <v>1.2434626593641044E-3</v>
      </c>
      <c r="O151" s="2">
        <v>3499.8458920117846</v>
      </c>
      <c r="P151" s="17">
        <f t="shared" si="15"/>
        <v>-448.94113110028229</v>
      </c>
      <c r="R151" s="28">
        <v>5.830414708024937E-5</v>
      </c>
      <c r="S151" s="9">
        <f t="shared" si="16"/>
        <v>-3.1703182178352053E-9</v>
      </c>
      <c r="U151" s="25"/>
      <c r="X151" s="2"/>
    </row>
    <row r="152" spans="1:24" outlineLevel="1">
      <c r="A152" s="1" t="s">
        <v>222</v>
      </c>
      <c r="B152" s="1" t="s">
        <v>223</v>
      </c>
      <c r="C152" s="9">
        <f>+payroll!G152</f>
        <v>4.659837247529549E-5</v>
      </c>
      <c r="D152" s="9">
        <f>+IFR!T152</f>
        <v>5.4142222294493432E-5</v>
      </c>
      <c r="E152" s="9">
        <f>+claims!R152</f>
        <v>0</v>
      </c>
      <c r="F152" s="9">
        <f>+costs!L152</f>
        <v>0</v>
      </c>
      <c r="H152" s="28">
        <f t="shared" si="14"/>
        <v>1.2592574346223615E-5</v>
      </c>
      <c r="J152" s="2">
        <f t="shared" si="17"/>
        <v>658.97257917033482</v>
      </c>
      <c r="L152" s="7">
        <f>+J152/payroll!F152</f>
        <v>1.1702484210828739E-3</v>
      </c>
      <c r="O152" s="2">
        <v>755.94350248880755</v>
      </c>
      <c r="P152" s="17">
        <f t="shared" si="15"/>
        <v>-96.970923318472728</v>
      </c>
      <c r="R152" s="28">
        <v>1.2593309109428035E-5</v>
      </c>
      <c r="S152" s="9">
        <f t="shared" si="16"/>
        <v>-7.3476320442023176E-10</v>
      </c>
      <c r="U152" s="25"/>
      <c r="X152" s="2"/>
    </row>
    <row r="153" spans="1:24" outlineLevel="1">
      <c r="A153" s="1" t="s">
        <v>224</v>
      </c>
      <c r="B153" s="1" t="s">
        <v>225</v>
      </c>
      <c r="C153" s="9">
        <f>+payroll!G153</f>
        <v>1.7201803660424835E-4</v>
      </c>
      <c r="D153" s="9">
        <f>+IFR!T153</f>
        <v>2.3583984965567479E-4</v>
      </c>
      <c r="E153" s="9">
        <f>+claims!R153</f>
        <v>0</v>
      </c>
      <c r="F153" s="9">
        <f>+costs!L153</f>
        <v>7.1903921435745216E-5</v>
      </c>
      <c r="H153" s="28">
        <f t="shared" si="14"/>
        <v>9.412458864393753E-5</v>
      </c>
      <c r="J153" s="2">
        <f t="shared" si="17"/>
        <v>4925.5633706576564</v>
      </c>
      <c r="L153" s="7">
        <f>+J153/payroll!F153</f>
        <v>2.3695364491815281E-3</v>
      </c>
      <c r="O153" s="2">
        <v>5650.2139442843381</v>
      </c>
      <c r="P153" s="17">
        <f t="shared" si="15"/>
        <v>-724.65057362668176</v>
      </c>
      <c r="R153" s="28">
        <v>9.4127260172894705E-5</v>
      </c>
      <c r="S153" s="9">
        <f t="shared" si="16"/>
        <v>-2.6715289571743826E-9</v>
      </c>
      <c r="U153" s="25"/>
      <c r="X153" s="2"/>
    </row>
    <row r="154" spans="1:24" outlineLevel="1">
      <c r="A154" s="1" t="s">
        <v>226</v>
      </c>
      <c r="B154" s="1" t="s">
        <v>227</v>
      </c>
      <c r="C154" s="9">
        <f>+payroll!G154</f>
        <v>4.4745293410962053E-4</v>
      </c>
      <c r="D154" s="9">
        <f>+IFR!T154</f>
        <v>5.6528150734589755E-4</v>
      </c>
      <c r="E154" s="9">
        <f>+claims!R154</f>
        <v>2.2901499445542663E-4</v>
      </c>
      <c r="F154" s="9">
        <f>+costs!L154</f>
        <v>3.975976527104547E-5</v>
      </c>
      <c r="H154" s="28">
        <f t="shared" si="14"/>
        <v>1.8479991351288104E-4</v>
      </c>
      <c r="J154" s="2">
        <f t="shared" si="17"/>
        <v>9670.6259014113366</v>
      </c>
      <c r="L154" s="7">
        <f>+J154/payroll!F154</f>
        <v>1.7884989607584985E-3</v>
      </c>
      <c r="O154" s="2">
        <v>11093.725856120051</v>
      </c>
      <c r="P154" s="17">
        <f t="shared" si="15"/>
        <v>-1423.099954708714</v>
      </c>
      <c r="R154" s="28">
        <v>1.8481105852674809E-4</v>
      </c>
      <c r="S154" s="9">
        <f t="shared" si="16"/>
        <v>-1.1145013867054588E-8</v>
      </c>
      <c r="U154" s="25"/>
      <c r="X154" s="2"/>
    </row>
    <row r="155" spans="1:24" outlineLevel="1">
      <c r="A155" s="1" t="s">
        <v>228</v>
      </c>
      <c r="B155" s="1" t="s">
        <v>229</v>
      </c>
      <c r="C155" s="9">
        <f>+payroll!G155</f>
        <v>4.273989022273814E-4</v>
      </c>
      <c r="D155" s="9">
        <f>+IFR!T155</f>
        <v>6.3135337184087252E-4</v>
      </c>
      <c r="E155" s="9">
        <f>+claims!R155</f>
        <v>2.862687430692833E-4</v>
      </c>
      <c r="F155" s="9">
        <f>+costs!L155</f>
        <v>2.5902792310626928E-5</v>
      </c>
      <c r="H155" s="28">
        <f t="shared" si="14"/>
        <v>1.9082602110530037E-4</v>
      </c>
      <c r="J155" s="2">
        <f t="shared" si="17"/>
        <v>9985.9736256616525</v>
      </c>
      <c r="L155" s="7">
        <f>+J155/payroll!F155</f>
        <v>1.9334746455446749E-3</v>
      </c>
      <c r="O155" s="2">
        <v>11455.494450323835</v>
      </c>
      <c r="P155" s="17">
        <f t="shared" si="15"/>
        <v>-1469.5208246621823</v>
      </c>
      <c r="R155" s="28">
        <v>1.9083778369588061E-4</v>
      </c>
      <c r="S155" s="9">
        <f t="shared" si="16"/>
        <v>-1.176259058023924E-8</v>
      </c>
      <c r="U155" s="25"/>
      <c r="X155" s="2"/>
    </row>
    <row r="156" spans="1:24" outlineLevel="1">
      <c r="A156" s="1" t="s">
        <v>230</v>
      </c>
      <c r="B156" s="1" t="s">
        <v>231</v>
      </c>
      <c r="C156" s="9">
        <f>+payroll!G156</f>
        <v>4.9268937906043767E-5</v>
      </c>
      <c r="D156" s="9">
        <f>+IFR!T156</f>
        <v>6.7448361671953679E-5</v>
      </c>
      <c r="E156" s="9">
        <f>+claims!R156</f>
        <v>5.7253748613856657E-5</v>
      </c>
      <c r="F156" s="9">
        <f>+costs!L156</f>
        <v>2.2431552645068599E-5</v>
      </c>
      <c r="H156" s="28">
        <f t="shared" si="14"/>
        <v>3.6636656326369337E-5</v>
      </c>
      <c r="J156" s="2">
        <f t="shared" si="17"/>
        <v>1917.2054297860764</v>
      </c>
      <c r="L156" s="7">
        <f>+J156/payroll!F156</f>
        <v>3.220156055779225E-3</v>
      </c>
      <c r="O156" s="2">
        <v>2199.311014151137</v>
      </c>
      <c r="P156" s="17">
        <f t="shared" si="15"/>
        <v>-282.10558436506062</v>
      </c>
      <c r="R156" s="28">
        <v>3.6638456892332369E-5</v>
      </c>
      <c r="S156" s="9">
        <f t="shared" si="16"/>
        <v>-1.8005659630315296E-9</v>
      </c>
      <c r="U156" s="25"/>
      <c r="X156" s="2"/>
    </row>
    <row r="157" spans="1:24" outlineLevel="1">
      <c r="A157" s="1" t="s">
        <v>571</v>
      </c>
      <c r="B157" s="1" t="s">
        <v>572</v>
      </c>
      <c r="C157" s="9">
        <f>+payroll!G157</f>
        <v>4.4493358768362081E-5</v>
      </c>
      <c r="D157" s="9">
        <f>+IFR!T157</f>
        <v>4.6800904017273982E-5</v>
      </c>
      <c r="E157" s="9">
        <f>+claims!R157</f>
        <v>0</v>
      </c>
      <c r="F157" s="9">
        <f>+costs!L157</f>
        <v>0</v>
      </c>
      <c r="H157" s="28">
        <f t="shared" si="14"/>
        <v>1.1411782848204508E-5</v>
      </c>
      <c r="J157" s="2">
        <f t="shared" si="17"/>
        <v>597.18146342874695</v>
      </c>
      <c r="L157" s="7">
        <f>+J157/payroll!F157</f>
        <v>1.1106893208772033E-3</v>
      </c>
      <c r="O157" s="2">
        <v>685.06200965974051</v>
      </c>
      <c r="P157" s="17">
        <f t="shared" si="15"/>
        <v>-87.880546230993559</v>
      </c>
      <c r="R157" s="28">
        <v>1.1412489978903972E-5</v>
      </c>
      <c r="S157" s="9">
        <f t="shared" si="16"/>
        <v>-7.0713069946464337E-10</v>
      </c>
      <c r="U157" s="25"/>
      <c r="X157" s="2"/>
    </row>
    <row r="158" spans="1:24" outlineLevel="1">
      <c r="A158" s="1" t="s">
        <v>232</v>
      </c>
      <c r="B158" s="1" t="s">
        <v>233</v>
      </c>
      <c r="C158" s="9">
        <f>+payroll!G158</f>
        <v>5.0907650282496916E-5</v>
      </c>
      <c r="D158" s="9">
        <f>+IFR!T158</f>
        <v>6.8824858848932325E-5</v>
      </c>
      <c r="E158" s="9">
        <f>+claims!R158</f>
        <v>0</v>
      </c>
      <c r="F158" s="9">
        <f>+costs!L158</f>
        <v>0</v>
      </c>
      <c r="H158" s="28">
        <f t="shared" si="14"/>
        <v>1.4966563641428654E-5</v>
      </c>
      <c r="J158" s="2">
        <f t="shared" si="17"/>
        <v>783.20403540574523</v>
      </c>
      <c r="L158" s="7">
        <f>+J158/payroll!F158</f>
        <v>1.2731317047486978E-3</v>
      </c>
      <c r="O158" s="2">
        <v>898.45130773288838</v>
      </c>
      <c r="P158" s="17">
        <f t="shared" si="15"/>
        <v>-115.24727232714315</v>
      </c>
      <c r="R158" s="28">
        <v>1.4967355365578575E-5</v>
      </c>
      <c r="S158" s="9">
        <f t="shared" si="16"/>
        <v>-7.9172414992070513E-10</v>
      </c>
      <c r="U158" s="25"/>
      <c r="X158" s="2"/>
    </row>
    <row r="159" spans="1:24" outlineLevel="1">
      <c r="A159" s="1" t="s">
        <v>234</v>
      </c>
      <c r="B159" s="1" t="s">
        <v>235</v>
      </c>
      <c r="C159" s="9">
        <f>+payroll!G159</f>
        <v>2.2213856751226667E-5</v>
      </c>
      <c r="D159" s="9">
        <f>+IFR!T159</f>
        <v>2.2023954831658342E-5</v>
      </c>
      <c r="E159" s="9">
        <f>+claims!R159</f>
        <v>0</v>
      </c>
      <c r="F159" s="9">
        <f>+costs!L159</f>
        <v>0</v>
      </c>
      <c r="H159" s="28">
        <f t="shared" si="14"/>
        <v>5.5297264478606258E-6</v>
      </c>
      <c r="J159" s="2">
        <f t="shared" si="17"/>
        <v>289.37197424972209</v>
      </c>
      <c r="L159" s="7">
        <f>+J159/payroll!F159</f>
        <v>1.0779881067088891E-3</v>
      </c>
      <c r="O159" s="2">
        <v>331.95634090950267</v>
      </c>
      <c r="P159" s="17">
        <f t="shared" si="15"/>
        <v>-42.584366659780585</v>
      </c>
      <c r="R159" s="28">
        <v>5.5300810155054322E-6</v>
      </c>
      <c r="S159" s="9">
        <f t="shared" si="16"/>
        <v>-3.5456764480644811E-10</v>
      </c>
      <c r="U159" s="25"/>
      <c r="X159" s="2"/>
    </row>
    <row r="160" spans="1:24" outlineLevel="1">
      <c r="A160" s="1" t="s">
        <v>236</v>
      </c>
      <c r="B160" s="1" t="s">
        <v>237</v>
      </c>
      <c r="C160" s="9">
        <f>+payroll!G160</f>
        <v>4.9724560776453922E-4</v>
      </c>
      <c r="D160" s="9">
        <f>+IFR!T160</f>
        <v>5.8822312696220824E-4</v>
      </c>
      <c r="E160" s="9">
        <f>+claims!R160</f>
        <v>1.1450749722771331E-4</v>
      </c>
      <c r="F160" s="9">
        <f>+costs!L160</f>
        <v>0</v>
      </c>
      <c r="H160" s="28">
        <f t="shared" si="14"/>
        <v>1.5285971642500041E-4</v>
      </c>
      <c r="J160" s="2">
        <f t="shared" si="17"/>
        <v>7999.18736346683</v>
      </c>
      <c r="L160" s="7">
        <f>+J160/payroll!F160</f>
        <v>1.3312400742638648E-3</v>
      </c>
      <c r="O160" s="2">
        <v>9176.3643438586078</v>
      </c>
      <c r="P160" s="17">
        <f t="shared" si="15"/>
        <v>-1177.1769803917778</v>
      </c>
      <c r="R160" s="28">
        <v>1.5286961565577609E-4</v>
      </c>
      <c r="S160" s="9">
        <f t="shared" si="16"/>
        <v>-9.8992307756768424E-9</v>
      </c>
      <c r="U160" s="25"/>
      <c r="X160" s="2"/>
    </row>
    <row r="161" spans="1:24" outlineLevel="1">
      <c r="A161" s="1" t="s">
        <v>238</v>
      </c>
      <c r="B161" s="1" t="s">
        <v>239</v>
      </c>
      <c r="C161" s="9">
        <f>+payroll!G161</f>
        <v>2.7609015245898842E-5</v>
      </c>
      <c r="D161" s="9">
        <f>+IFR!T161</f>
        <v>3.9459585740054532E-5</v>
      </c>
      <c r="E161" s="9">
        <f>+claims!R161</f>
        <v>0</v>
      </c>
      <c r="F161" s="9">
        <f>+costs!L161</f>
        <v>0</v>
      </c>
      <c r="H161" s="28">
        <f t="shared" si="14"/>
        <v>8.3835751232441718E-6</v>
      </c>
      <c r="J161" s="2">
        <f t="shared" si="17"/>
        <v>438.71459240494573</v>
      </c>
      <c r="L161" s="7">
        <f>+J161/payroll!F161</f>
        <v>1.3149602735198611E-3</v>
      </c>
      <c r="O161" s="2">
        <v>503.26977941261725</v>
      </c>
      <c r="P161" s="17">
        <f t="shared" si="15"/>
        <v>-64.55518700767152</v>
      </c>
      <c r="R161" s="28">
        <v>8.3840020804604882E-6</v>
      </c>
      <c r="S161" s="9">
        <f t="shared" si="16"/>
        <v>-4.2695721631642283E-10</v>
      </c>
      <c r="U161" s="25"/>
      <c r="X161" s="2"/>
    </row>
    <row r="162" spans="1:24" outlineLevel="1">
      <c r="A162" s="1" t="s">
        <v>240</v>
      </c>
      <c r="B162" s="1" t="s">
        <v>241</v>
      </c>
      <c r="C162" s="9">
        <f>+payroll!G162</f>
        <v>3.3327148316437929E-5</v>
      </c>
      <c r="D162" s="9">
        <f>+IFR!T162</f>
        <v>4.1294915309359395E-5</v>
      </c>
      <c r="E162" s="9">
        <f>+claims!R162</f>
        <v>5.7253748613856657E-5</v>
      </c>
      <c r="F162" s="9">
        <f>+costs!L162</f>
        <v>0</v>
      </c>
      <c r="H162" s="28">
        <f t="shared" si="14"/>
        <v>1.7915820245303164E-5</v>
      </c>
      <c r="J162" s="2">
        <f t="shared" si="17"/>
        <v>937.53937442823485</v>
      </c>
      <c r="L162" s="7">
        <f>+J162/payroll!F162</f>
        <v>2.3279456187633167E-3</v>
      </c>
      <c r="O162" s="2">
        <v>1075.5334792213573</v>
      </c>
      <c r="P162" s="17">
        <f t="shared" si="15"/>
        <v>-137.99410479312246</v>
      </c>
      <c r="R162" s="28">
        <v>1.7917378106670988E-5</v>
      </c>
      <c r="S162" s="9">
        <f t="shared" si="16"/>
        <v>-1.5578613678236786E-9</v>
      </c>
      <c r="U162" s="25"/>
      <c r="X162" s="2"/>
    </row>
    <row r="163" spans="1:24" outlineLevel="1">
      <c r="A163" s="1" t="s">
        <v>242</v>
      </c>
      <c r="B163" s="1" t="s">
        <v>243</v>
      </c>
      <c r="C163" s="9">
        <f>+payroll!G163</f>
        <v>3.6792505525816496E-5</v>
      </c>
      <c r="D163" s="9">
        <f>+IFR!T163</f>
        <v>5.505988707914586E-5</v>
      </c>
      <c r="E163" s="9">
        <f>+claims!R163</f>
        <v>0</v>
      </c>
      <c r="F163" s="9">
        <f>+costs!L163</f>
        <v>0</v>
      </c>
      <c r="H163" s="28">
        <f t="shared" si="14"/>
        <v>1.1481549075620295E-5</v>
      </c>
      <c r="J163" s="2">
        <f t="shared" si="17"/>
        <v>600.83234763678433</v>
      </c>
      <c r="L163" s="7">
        <f>+J163/payroll!F163</f>
        <v>1.3513735408771247E-3</v>
      </c>
      <c r="O163" s="2">
        <v>689.24143247167876</v>
      </c>
      <c r="P163" s="17">
        <f t="shared" si="15"/>
        <v>-88.409084834894429</v>
      </c>
      <c r="R163" s="28">
        <v>1.1482115239517298E-5</v>
      </c>
      <c r="S163" s="9">
        <f t="shared" si="16"/>
        <v>-5.6616389700261266E-10</v>
      </c>
      <c r="U163" s="25"/>
      <c r="X163" s="2"/>
    </row>
    <row r="164" spans="1:24" outlineLevel="1">
      <c r="A164" s="1" t="s">
        <v>483</v>
      </c>
      <c r="B164" s="1" t="s">
        <v>484</v>
      </c>
      <c r="C164" s="9">
        <f>+payroll!G164</f>
        <v>3.2955972163879863E-6</v>
      </c>
      <c r="D164" s="9">
        <f>+IFR!T164</f>
        <v>2.2941619616310777E-5</v>
      </c>
      <c r="E164" s="9">
        <f>+claims!R164</f>
        <v>0</v>
      </c>
      <c r="F164" s="9">
        <f>+costs!L164</f>
        <v>0</v>
      </c>
      <c r="H164" s="28">
        <f t="shared" si="14"/>
        <v>3.2796521040873452E-6</v>
      </c>
      <c r="J164" s="2">
        <f t="shared" si="17"/>
        <v>171.62501855388891</v>
      </c>
      <c r="L164" s="7">
        <f>+J164/payroll!F164</f>
        <v>4.3095104569211952E-3</v>
      </c>
      <c r="O164" s="2">
        <v>196.87077895466192</v>
      </c>
      <c r="P164" s="17">
        <f t="shared" si="15"/>
        <v>-25.245760400773008</v>
      </c>
      <c r="R164" s="28">
        <v>3.2796823649220327E-6</v>
      </c>
      <c r="S164" s="9">
        <f t="shared" si="16"/>
        <v>-3.0260834687519242E-11</v>
      </c>
      <c r="U164" s="25"/>
      <c r="X164" s="2"/>
    </row>
    <row r="165" spans="1:24" outlineLevel="1">
      <c r="A165" s="1" t="s">
        <v>244</v>
      </c>
      <c r="B165" s="1" t="s">
        <v>245</v>
      </c>
      <c r="C165" s="9">
        <f>+payroll!G165</f>
        <v>2.058897886185814E-3</v>
      </c>
      <c r="D165" s="9">
        <f>+IFR!T165</f>
        <v>2.4625534496147987E-3</v>
      </c>
      <c r="E165" s="9">
        <f>+claims!R165</f>
        <v>4.0077624029699664E-4</v>
      </c>
      <c r="F165" s="9">
        <f>+costs!L165</f>
        <v>4.417539349133095E-4</v>
      </c>
      <c r="H165" s="28">
        <f t="shared" si="14"/>
        <v>8.9035021396761168E-4</v>
      </c>
      <c r="J165" s="2">
        <f t="shared" si="17"/>
        <v>46592.250379609381</v>
      </c>
      <c r="L165" s="7">
        <f>+J165/payroll!F165</f>
        <v>1.8726660986781976E-3</v>
      </c>
      <c r="O165" s="2">
        <v>53447.780304024265</v>
      </c>
      <c r="P165" s="17">
        <f t="shared" si="15"/>
        <v>-6855.5299244148846</v>
      </c>
      <c r="R165" s="28">
        <v>8.9038984575615522E-4</v>
      </c>
      <c r="S165" s="9">
        <f t="shared" si="16"/>
        <v>-3.9631788543536932E-8</v>
      </c>
      <c r="U165" s="25"/>
      <c r="X165" s="2"/>
    </row>
    <row r="166" spans="1:24" outlineLevel="1">
      <c r="A166" s="1" t="s">
        <v>246</v>
      </c>
      <c r="B166" s="1" t="s">
        <v>247</v>
      </c>
      <c r="C166" s="9">
        <f>+payroll!G166</f>
        <v>3.9302719654480347E-5</v>
      </c>
      <c r="D166" s="9">
        <f>+IFR!T166</f>
        <v>4.5883239232621554E-5</v>
      </c>
      <c r="E166" s="9">
        <f>+claims!R166</f>
        <v>0</v>
      </c>
      <c r="F166" s="9">
        <f>+costs!L166</f>
        <v>0</v>
      </c>
      <c r="H166" s="28">
        <f t="shared" si="14"/>
        <v>1.0648244860887738E-5</v>
      </c>
      <c r="J166" s="2">
        <f t="shared" si="17"/>
        <v>557.22532872881175</v>
      </c>
      <c r="L166" s="7">
        <f>+J166/payroll!F166</f>
        <v>1.1732477082416583E-3</v>
      </c>
      <c r="O166" s="2">
        <v>639.22355402773246</v>
      </c>
      <c r="P166" s="17">
        <f t="shared" si="15"/>
        <v>-81.998225298920715</v>
      </c>
      <c r="R166" s="28">
        <v>1.0648864338929342E-5</v>
      </c>
      <c r="S166" s="9">
        <f t="shared" si="16"/>
        <v>-6.1947804160390318E-10</v>
      </c>
      <c r="U166" s="25"/>
      <c r="X166" s="2"/>
    </row>
    <row r="167" spans="1:24" outlineLevel="1">
      <c r="A167" s="1" t="s">
        <v>248</v>
      </c>
      <c r="B167" s="1" t="s">
        <v>249</v>
      </c>
      <c r="C167" s="9">
        <f>+payroll!G167</f>
        <v>3.4524085429984874E-5</v>
      </c>
      <c r="D167" s="9">
        <f>+IFR!T167</f>
        <v>4.6800904017273982E-5</v>
      </c>
      <c r="E167" s="9">
        <f>+claims!R167</f>
        <v>0</v>
      </c>
      <c r="F167" s="9">
        <f>+costs!L167</f>
        <v>0</v>
      </c>
      <c r="H167" s="28">
        <f t="shared" si="14"/>
        <v>1.0165623680907356E-5</v>
      </c>
      <c r="J167" s="2">
        <f t="shared" si="17"/>
        <v>531.96964113151932</v>
      </c>
      <c r="L167" s="7">
        <f>+J167/payroll!F167</f>
        <v>1.2751055461891802E-3</v>
      </c>
      <c r="O167" s="2">
        <v>610.24809919948837</v>
      </c>
      <c r="P167" s="17">
        <f t="shared" si="15"/>
        <v>-78.278458067969041</v>
      </c>
      <c r="R167" s="28">
        <v>1.0166160462201796E-5</v>
      </c>
      <c r="S167" s="9">
        <f t="shared" si="16"/>
        <v>-5.3678129444024601E-10</v>
      </c>
      <c r="U167" s="25"/>
      <c r="X167" s="2"/>
    </row>
    <row r="168" spans="1:24" outlineLevel="1">
      <c r="A168" s="1" t="s">
        <v>250</v>
      </c>
      <c r="B168" s="1" t="s">
        <v>251</v>
      </c>
      <c r="C168" s="9">
        <f>+payroll!G168</f>
        <v>4.6492313545637231E-4</v>
      </c>
      <c r="D168" s="9">
        <f>+IFR!T168</f>
        <v>5.2857491595980027E-4</v>
      </c>
      <c r="E168" s="9">
        <f>+claims!R168</f>
        <v>2.2901499445542663E-4</v>
      </c>
      <c r="F168" s="9">
        <f>+costs!L168</f>
        <v>1.2303582393239207E-5</v>
      </c>
      <c r="H168" s="28">
        <f t="shared" si="14"/>
        <v>1.6592165503127908E-4</v>
      </c>
      <c r="J168" s="2">
        <f t="shared" si="17"/>
        <v>8682.7218922842294</v>
      </c>
      <c r="L168" s="7">
        <f>+J168/payroll!F168</f>
        <v>1.545454422857909E-3</v>
      </c>
      <c r="O168" s="2">
        <v>9960.533655592264</v>
      </c>
      <c r="P168" s="17">
        <f t="shared" si="15"/>
        <v>-1277.8117633080346</v>
      </c>
      <c r="R168" s="28">
        <v>1.6593314025024216E-4</v>
      </c>
      <c r="S168" s="9">
        <f t="shared" si="16"/>
        <v>-1.1485218963082572E-8</v>
      </c>
      <c r="U168" s="25"/>
      <c r="X168" s="2"/>
    </row>
    <row r="169" spans="1:24" outlineLevel="1">
      <c r="A169" s="1" t="s">
        <v>252</v>
      </c>
      <c r="B169" s="1" t="s">
        <v>253</v>
      </c>
      <c r="C169" s="9">
        <f>+payroll!G169</f>
        <v>3.4035825706130906E-5</v>
      </c>
      <c r="D169" s="9">
        <f>+IFR!T169</f>
        <v>3.8541920955402104E-5</v>
      </c>
      <c r="E169" s="9">
        <f>+claims!R169</f>
        <v>0</v>
      </c>
      <c r="F169" s="9">
        <f>+costs!L169</f>
        <v>0</v>
      </c>
      <c r="H169" s="28">
        <f t="shared" si="14"/>
        <v>9.0722183326916263E-6</v>
      </c>
      <c r="J169" s="2">
        <f t="shared" si="17"/>
        <v>474.75146456316457</v>
      </c>
      <c r="L169" s="7">
        <f>+J169/payroll!F169</f>
        <v>1.1542808515451E-3</v>
      </c>
      <c r="O169" s="2">
        <v>544.61388992295986</v>
      </c>
      <c r="P169" s="17">
        <f t="shared" si="15"/>
        <v>-69.862425359795282</v>
      </c>
      <c r="R169" s="28">
        <v>9.0727561497750867E-6</v>
      </c>
      <c r="S169" s="9">
        <f t="shared" si="16"/>
        <v>-5.3781708346037891E-10</v>
      </c>
      <c r="U169" s="25"/>
      <c r="X169" s="2"/>
    </row>
    <row r="170" spans="1:24" outlineLevel="1">
      <c r="A170" s="1" t="s">
        <v>254</v>
      </c>
      <c r="B170" s="1" t="s">
        <v>255</v>
      </c>
      <c r="C170" s="9">
        <f>+payroll!G170</f>
        <v>1.5081536655733944E-4</v>
      </c>
      <c r="D170" s="9">
        <f>+IFR!T170</f>
        <v>1.5600301339091326E-4</v>
      </c>
      <c r="E170" s="9">
        <f>+claims!R170</f>
        <v>0</v>
      </c>
      <c r="F170" s="9">
        <f>+costs!L170</f>
        <v>1.6570481337695902E-6</v>
      </c>
      <c r="H170" s="28">
        <f t="shared" si="14"/>
        <v>3.934652637379334E-5</v>
      </c>
      <c r="J170" s="2">
        <f t="shared" si="17"/>
        <v>2059.0136101684266</v>
      </c>
      <c r="L170" s="7">
        <f>+J170/payroll!F170</f>
        <v>1.1297831477531581E-3</v>
      </c>
      <c r="O170" s="2">
        <v>2362.0134217484069</v>
      </c>
      <c r="P170" s="17">
        <f t="shared" si="15"/>
        <v>-302.99981157998036</v>
      </c>
      <c r="R170" s="28">
        <v>3.9348926266002142E-5</v>
      </c>
      <c r="S170" s="9">
        <f t="shared" si="16"/>
        <v>-2.3998922088014569E-9</v>
      </c>
      <c r="U170" s="25"/>
      <c r="X170" s="2"/>
    </row>
    <row r="171" spans="1:24" outlineLevel="1">
      <c r="A171" s="1" t="s">
        <v>256</v>
      </c>
      <c r="B171" s="1" t="s">
        <v>257</v>
      </c>
      <c r="C171" s="9">
        <f>+payroll!G171</f>
        <v>1.3226545551988045E-4</v>
      </c>
      <c r="D171" s="9">
        <f>+IFR!T171</f>
        <v>1.4774403032904139E-4</v>
      </c>
      <c r="E171" s="9">
        <f>+claims!R171</f>
        <v>5.7253748613856657E-5</v>
      </c>
      <c r="F171" s="9">
        <f>+costs!L171</f>
        <v>1.7096778236627058E-5</v>
      </c>
      <c r="H171" s="28">
        <f t="shared" si="14"/>
        <v>5.3847314965169968E-5</v>
      </c>
      <c r="J171" s="2">
        <f t="shared" si="17"/>
        <v>2817.8435201882835</v>
      </c>
      <c r="L171" s="7">
        <f>+J171/payroll!F171</f>
        <v>1.7629983642568545E-3</v>
      </c>
      <c r="O171" s="2">
        <v>3232.5016240685964</v>
      </c>
      <c r="P171" s="17">
        <f t="shared" si="15"/>
        <v>-414.65810388031286</v>
      </c>
      <c r="R171" s="28">
        <v>5.3850442545773039E-5</v>
      </c>
      <c r="S171" s="9">
        <f t="shared" si="16"/>
        <v>-3.1275806030710588E-9</v>
      </c>
      <c r="U171" s="25"/>
      <c r="X171" s="2"/>
    </row>
    <row r="172" spans="1:24" outlineLevel="1">
      <c r="A172" s="1" t="s">
        <v>258</v>
      </c>
      <c r="B172" s="1" t="s">
        <v>259</v>
      </c>
      <c r="C172" s="9">
        <f>+payroll!G172</f>
        <v>6.4136643338167461E-4</v>
      </c>
      <c r="D172" s="9">
        <f>+IFR!T172</f>
        <v>7.5890877690756051E-4</v>
      </c>
      <c r="E172" s="9">
        <f>+claims!R172</f>
        <v>4.5802998891085326E-4</v>
      </c>
      <c r="F172" s="9">
        <f>+costs!L172</f>
        <v>1.6667050420602809E-4</v>
      </c>
      <c r="H172" s="28">
        <f t="shared" si="14"/>
        <v>3.4374120214639923E-4</v>
      </c>
      <c r="J172" s="2">
        <f t="shared" si="17"/>
        <v>17988.063466423289</v>
      </c>
      <c r="L172" s="7">
        <f>+J172/payroll!F172</f>
        <v>2.3209172335279115E-3</v>
      </c>
      <c r="O172" s="2">
        <v>20634.991175483345</v>
      </c>
      <c r="P172" s="17">
        <f t="shared" si="15"/>
        <v>-2646.9277090600553</v>
      </c>
      <c r="R172" s="28">
        <v>3.4375958188360647E-4</v>
      </c>
      <c r="S172" s="9">
        <f t="shared" si="16"/>
        <v>-1.8379737207240357E-8</v>
      </c>
      <c r="U172" s="25"/>
      <c r="X172" s="2"/>
    </row>
    <row r="173" spans="1:24" outlineLevel="1">
      <c r="A173" s="1" t="s">
        <v>260</v>
      </c>
      <c r="B173" s="1" t="s">
        <v>261</v>
      </c>
      <c r="C173" s="9">
        <f>+payroll!G173</f>
        <v>3.0927623606220316E-5</v>
      </c>
      <c r="D173" s="9">
        <f>+IFR!T173</f>
        <v>3.3035932247487517E-5</v>
      </c>
      <c r="E173" s="9">
        <f>+claims!R173</f>
        <v>0</v>
      </c>
      <c r="F173" s="9">
        <f>+costs!L173</f>
        <v>0</v>
      </c>
      <c r="H173" s="28">
        <f t="shared" si="14"/>
        <v>7.99544448171348E-6</v>
      </c>
      <c r="J173" s="2">
        <f t="shared" si="17"/>
        <v>418.40361842358357</v>
      </c>
      <c r="L173" s="7">
        <f>+J173/payroll!F173</f>
        <v>1.1195161149911937E-3</v>
      </c>
      <c r="O173" s="2">
        <v>479.97515107353632</v>
      </c>
      <c r="P173" s="17">
        <f t="shared" si="15"/>
        <v>-61.571532649952758</v>
      </c>
      <c r="R173" s="28">
        <v>7.9959354401659886E-6</v>
      </c>
      <c r="S173" s="9">
        <f t="shared" ref="S173:S204" si="18">+H173-R173</f>
        <v>-4.9095845250856588E-10</v>
      </c>
      <c r="U173" s="25"/>
      <c r="X173" s="2"/>
    </row>
    <row r="174" spans="1:24" outlineLevel="1">
      <c r="A174" s="1" t="s">
        <v>262</v>
      </c>
      <c r="B174" s="1" t="s">
        <v>263</v>
      </c>
      <c r="C174" s="9">
        <f>+payroll!G174</f>
        <v>3.8599926799751765E-5</v>
      </c>
      <c r="D174" s="9">
        <f>+IFR!T174</f>
        <v>5.505988707914586E-5</v>
      </c>
      <c r="E174" s="9">
        <f>+claims!R174</f>
        <v>0</v>
      </c>
      <c r="F174" s="9">
        <f>+costs!L174</f>
        <v>0</v>
      </c>
      <c r="H174" s="28">
        <f t="shared" si="14"/>
        <v>1.1707476734862204E-5</v>
      </c>
      <c r="J174" s="2">
        <f t="shared" si="17"/>
        <v>612.65519880471925</v>
      </c>
      <c r="L174" s="7">
        <f>+J174/payroll!F174</f>
        <v>1.3134426395189794E-3</v>
      </c>
      <c r="O174" s="2">
        <v>702.80513453525953</v>
      </c>
      <c r="P174" s="17">
        <f t="shared" si="15"/>
        <v>-90.149935730540278</v>
      </c>
      <c r="R174" s="28">
        <v>1.170807378296994E-5</v>
      </c>
      <c r="S174" s="9">
        <f t="shared" si="18"/>
        <v>-5.9704810773573925E-10</v>
      </c>
      <c r="U174" s="25"/>
      <c r="X174" s="2"/>
    </row>
    <row r="175" spans="1:24" outlineLevel="1">
      <c r="A175" s="1" t="s">
        <v>264</v>
      </c>
      <c r="B175" s="1" t="s">
        <v>265</v>
      </c>
      <c r="C175" s="9">
        <f>+payroll!G175</f>
        <v>4.5964123846781682E-5</v>
      </c>
      <c r="D175" s="9">
        <f>+IFR!T175</f>
        <v>4.3589077270990474E-5</v>
      </c>
      <c r="E175" s="9">
        <f>+claims!R175</f>
        <v>0</v>
      </c>
      <c r="F175" s="9">
        <f>+costs!L175</f>
        <v>0</v>
      </c>
      <c r="H175" s="28">
        <f t="shared" si="14"/>
        <v>1.1194150139721519E-5</v>
      </c>
      <c r="J175" s="2">
        <f t="shared" si="17"/>
        <v>585.79268911796669</v>
      </c>
      <c r="L175" s="7">
        <f>+J175/payroll!F175</f>
        <v>1.054645320736984E-3</v>
      </c>
      <c r="O175" s="2">
        <v>671.99981328192325</v>
      </c>
      <c r="P175" s="17">
        <f t="shared" si="15"/>
        <v>-86.207124163956564</v>
      </c>
      <c r="R175" s="28">
        <v>1.119488604938764E-5</v>
      </c>
      <c r="S175" s="9">
        <f t="shared" si="18"/>
        <v>-7.3590966612150787E-10</v>
      </c>
      <c r="U175" s="25"/>
      <c r="X175" s="2"/>
    </row>
    <row r="176" spans="1:24" outlineLevel="1">
      <c r="A176" s="1" t="s">
        <v>266</v>
      </c>
      <c r="B176" s="1" t="s">
        <v>267</v>
      </c>
      <c r="C176" s="9">
        <f>+payroll!G176</f>
        <v>9.1733423741320079E-5</v>
      </c>
      <c r="D176" s="9">
        <f>+IFR!T176</f>
        <v>1.0323728827339849E-4</v>
      </c>
      <c r="E176" s="9">
        <f>+claims!R176</f>
        <v>0</v>
      </c>
      <c r="F176" s="9">
        <f>+costs!L176</f>
        <v>0</v>
      </c>
      <c r="H176" s="28">
        <f t="shared" si="14"/>
        <v>2.4371339001839822E-5</v>
      </c>
      <c r="J176" s="2">
        <f t="shared" si="17"/>
        <v>1275.3582927777754</v>
      </c>
      <c r="L176" s="7">
        <f>+J176/payroll!F176</f>
        <v>1.150498552470758E-3</v>
      </c>
      <c r="O176" s="2">
        <v>1463.0349747660034</v>
      </c>
      <c r="P176" s="17">
        <f t="shared" si="15"/>
        <v>-187.67668198822798</v>
      </c>
      <c r="R176" s="28">
        <v>2.4372789255378666E-5</v>
      </c>
      <c r="S176" s="9">
        <f t="shared" si="18"/>
        <v>-1.4502535388448477E-9</v>
      </c>
      <c r="U176" s="25"/>
      <c r="X176" s="2"/>
    </row>
    <row r="177" spans="1:24" outlineLevel="1">
      <c r="A177" s="1" t="s">
        <v>268</v>
      </c>
      <c r="B177" s="1" t="s">
        <v>269</v>
      </c>
      <c r="C177" s="9">
        <f>+payroll!G177</f>
        <v>7.9446955393059063E-6</v>
      </c>
      <c r="D177" s="9">
        <f>+IFR!T177</f>
        <v>1.3764971769786465E-5</v>
      </c>
      <c r="E177" s="9">
        <f>+claims!R177</f>
        <v>0</v>
      </c>
      <c r="F177" s="9">
        <f>+costs!L177</f>
        <v>0</v>
      </c>
      <c r="H177" s="28">
        <f t="shared" si="14"/>
        <v>2.7137084136365464E-6</v>
      </c>
      <c r="J177" s="2">
        <f t="shared" si="17"/>
        <v>142.00904305056525</v>
      </c>
      <c r="L177" s="7">
        <f>+J177/payroll!F177</f>
        <v>1.4791772248284353E-3</v>
      </c>
      <c r="O177" s="2">
        <v>162.90404939212647</v>
      </c>
      <c r="P177" s="17">
        <f t="shared" si="15"/>
        <v>-20.895006341561214</v>
      </c>
      <c r="R177" s="28">
        <v>2.7138285366808285E-6</v>
      </c>
      <c r="S177" s="9">
        <f t="shared" si="18"/>
        <v>-1.2012304428208831E-10</v>
      </c>
      <c r="U177" s="25"/>
      <c r="X177" s="2"/>
    </row>
    <row r="178" spans="1:24" outlineLevel="1">
      <c r="A178" s="1" t="s">
        <v>270</v>
      </c>
      <c r="B178" s="1" t="s">
        <v>271</v>
      </c>
      <c r="C178" s="9">
        <f>+payroll!G178</f>
        <v>3.1656359445541264E-4</v>
      </c>
      <c r="D178" s="9">
        <f>+IFR!T178</f>
        <v>4.9049182739672439E-4</v>
      </c>
      <c r="E178" s="9">
        <f>+claims!R178</f>
        <v>3.4352249168313992E-4</v>
      </c>
      <c r="F178" s="9">
        <f>+costs!L178</f>
        <v>1.3634956127962317E-4</v>
      </c>
      <c r="H178" s="28">
        <f t="shared" si="14"/>
        <v>2.3422003825176202E-4</v>
      </c>
      <c r="J178" s="2">
        <f t="shared" si="17"/>
        <v>12256.793444814917</v>
      </c>
      <c r="L178" s="7">
        <f>+J178/payroll!F178</f>
        <v>3.2040358575362565E-3</v>
      </c>
      <c r="O178" s="2">
        <v>14060.282189906637</v>
      </c>
      <c r="P178" s="17">
        <f t="shared" si="15"/>
        <v>-1803.4887450917195</v>
      </c>
      <c r="R178" s="28">
        <v>2.3423110219258962E-4</v>
      </c>
      <c r="S178" s="9">
        <f t="shared" si="18"/>
        <v>-1.1063940827605234E-8</v>
      </c>
      <c r="U178" s="25"/>
      <c r="X178" s="2"/>
    </row>
    <row r="179" spans="1:24" outlineLevel="1">
      <c r="A179" s="1" t="s">
        <v>272</v>
      </c>
      <c r="B179" s="1" t="s">
        <v>273</v>
      </c>
      <c r="C179" s="9">
        <f>+payroll!G179</f>
        <v>2.3386004506118901E-4</v>
      </c>
      <c r="D179" s="9">
        <f>+IFR!T179</f>
        <v>3.1384135635113142E-4</v>
      </c>
      <c r="E179" s="9">
        <f>+claims!R179</f>
        <v>1.7176124584156996E-4</v>
      </c>
      <c r="F179" s="9">
        <f>+costs!L179</f>
        <v>1.6570481337695902E-6</v>
      </c>
      <c r="H179" s="28">
        <f t="shared" si="14"/>
        <v>9.5221090933037306E-5</v>
      </c>
      <c r="J179" s="2">
        <f t="shared" si="17"/>
        <v>4982.943610920518</v>
      </c>
      <c r="L179" s="7">
        <f>+J179/payroll!F179</f>
        <v>1.7632399312112268E-3</v>
      </c>
      <c r="O179" s="2">
        <v>5716.2786676314872</v>
      </c>
      <c r="P179" s="17">
        <f t="shared" si="15"/>
        <v>-733.33505671096918</v>
      </c>
      <c r="R179" s="28">
        <v>9.5227836445592831E-5</v>
      </c>
      <c r="S179" s="9">
        <f t="shared" si="18"/>
        <v>-6.745512555524232E-9</v>
      </c>
      <c r="U179" s="25"/>
      <c r="X179" s="2"/>
    </row>
    <row r="180" spans="1:24" outlineLevel="1">
      <c r="A180" s="1" t="s">
        <v>274</v>
      </c>
      <c r="B180" s="1" t="s">
        <v>275</v>
      </c>
      <c r="C180" s="9">
        <f>+payroll!G180</f>
        <v>1.3054196313961586E-5</v>
      </c>
      <c r="D180" s="9">
        <f>+IFR!T180</f>
        <v>1.3764971769786465E-5</v>
      </c>
      <c r="E180" s="9">
        <f>+claims!R180</f>
        <v>0</v>
      </c>
      <c r="F180" s="9">
        <f>+costs!L180</f>
        <v>0</v>
      </c>
      <c r="H180" s="28">
        <f t="shared" si="14"/>
        <v>3.3523960104685066E-6</v>
      </c>
      <c r="J180" s="2">
        <f t="shared" si="17"/>
        <v>175.43172545026667</v>
      </c>
      <c r="L180" s="7">
        <f>+J180/payroll!F180</f>
        <v>1.1120887935304449E-3</v>
      </c>
      <c r="O180" s="2">
        <v>201.24804102290494</v>
      </c>
      <c r="P180" s="17">
        <f t="shared" si="15"/>
        <v>-25.816315572638274</v>
      </c>
      <c r="R180" s="28">
        <v>3.3526034418237751E-6</v>
      </c>
      <c r="S180" s="9">
        <f t="shared" si="18"/>
        <v>-2.0743135526845972E-10</v>
      </c>
      <c r="U180" s="25"/>
      <c r="X180" s="2"/>
    </row>
    <row r="181" spans="1:24" outlineLevel="1">
      <c r="A181" s="1" t="s">
        <v>276</v>
      </c>
      <c r="B181" s="1" t="s">
        <v>277</v>
      </c>
      <c r="C181" s="9">
        <f>+payroll!G181</f>
        <v>1.6300518418412504E-4</v>
      </c>
      <c r="D181" s="9">
        <f>+IFR!T181</f>
        <v>2.0280391740818728E-4</v>
      </c>
      <c r="E181" s="9">
        <f>+claims!R181</f>
        <v>0</v>
      </c>
      <c r="F181" s="9">
        <f>+costs!L181</f>
        <v>0</v>
      </c>
      <c r="H181" s="28">
        <f t="shared" si="14"/>
        <v>4.5726137699039036E-5</v>
      </c>
      <c r="J181" s="2">
        <f t="shared" si="17"/>
        <v>2392.8602735682871</v>
      </c>
      <c r="L181" s="7">
        <f>+J181/payroll!F181</f>
        <v>1.2147793248329926E-3</v>
      </c>
      <c r="O181" s="2">
        <v>2744.9741645702761</v>
      </c>
      <c r="P181" s="17">
        <f t="shared" si="15"/>
        <v>-352.11389100198903</v>
      </c>
      <c r="R181" s="28">
        <v>4.5728692736980409E-5</v>
      </c>
      <c r="S181" s="9">
        <f t="shared" si="18"/>
        <v>-2.5550379413729761E-9</v>
      </c>
      <c r="U181" s="25"/>
      <c r="X181" s="2"/>
    </row>
    <row r="182" spans="1:24" outlineLevel="1">
      <c r="A182" s="1" t="s">
        <v>278</v>
      </c>
      <c r="B182" s="1" t="s">
        <v>279</v>
      </c>
      <c r="C182" s="9">
        <f>+payroll!G182</f>
        <v>1.1424776733445977E-4</v>
      </c>
      <c r="D182" s="9">
        <f>+IFR!T182</f>
        <v>1.8261529214583377E-4</v>
      </c>
      <c r="E182" s="9">
        <f>+claims!R182</f>
        <v>1.7176124584156996E-4</v>
      </c>
      <c r="F182" s="9">
        <f>+costs!L182</f>
        <v>9.7075126995312867E-5</v>
      </c>
      <c r="H182" s="28">
        <f t="shared" si="14"/>
        <v>1.2111714550845991E-4</v>
      </c>
      <c r="J182" s="2">
        <f t="shared" si="17"/>
        <v>6338.0906527181733</v>
      </c>
      <c r="L182" s="7">
        <f>+J182/payroll!F182</f>
        <v>4.5908403896757757E-3</v>
      </c>
      <c r="O182" s="2">
        <v>7270.6375441085247</v>
      </c>
      <c r="P182" s="17">
        <f t="shared" si="15"/>
        <v>-932.54689139035145</v>
      </c>
      <c r="R182" s="28">
        <v>1.2112199617315583E-4</v>
      </c>
      <c r="S182" s="9">
        <f t="shared" si="18"/>
        <v>-4.8506646959192191E-9</v>
      </c>
      <c r="U182" s="25"/>
      <c r="X182" s="2"/>
    </row>
    <row r="183" spans="1:24" outlineLevel="1">
      <c r="A183" s="1" t="s">
        <v>280</v>
      </c>
      <c r="B183" s="1" t="s">
        <v>281</v>
      </c>
      <c r="C183" s="9">
        <f>+payroll!G183</f>
        <v>1.0962393254239945E-4</v>
      </c>
      <c r="D183" s="9">
        <f>+IFR!T183</f>
        <v>1.5187352185997731E-4</v>
      </c>
      <c r="E183" s="9">
        <f>+claims!R183</f>
        <v>5.7253748613856657E-5</v>
      </c>
      <c r="F183" s="9">
        <f>+costs!L183</f>
        <v>1.7357579201236458E-6</v>
      </c>
      <c r="H183" s="28">
        <f t="shared" si="14"/>
        <v>4.2316698844449777E-5</v>
      </c>
      <c r="J183" s="2">
        <f t="shared" si="17"/>
        <v>2214.4434817543079</v>
      </c>
      <c r="L183" s="7">
        <f>+J183/payroll!F183</f>
        <v>1.6716320606923491E-3</v>
      </c>
      <c r="O183" s="2">
        <v>2540.3253049495224</v>
      </c>
      <c r="P183" s="17">
        <f t="shared" si="15"/>
        <v>-325.88182319521457</v>
      </c>
      <c r="R183" s="28">
        <v>4.2319434849835264E-5</v>
      </c>
      <c r="S183" s="9">
        <f t="shared" si="18"/>
        <v>-2.7360053854872854E-9</v>
      </c>
      <c r="U183" s="25"/>
      <c r="X183" s="2"/>
    </row>
    <row r="184" spans="1:24" outlineLevel="1">
      <c r="A184" s="1" t="s">
        <v>282</v>
      </c>
      <c r="B184" s="1" t="s">
        <v>283</v>
      </c>
      <c r="C184" s="9">
        <f>+payroll!G184</f>
        <v>4.4441970528277295E-5</v>
      </c>
      <c r="D184" s="9">
        <f>+IFR!T184</f>
        <v>5.1389227940536142E-5</v>
      </c>
      <c r="E184" s="9">
        <f>+claims!R184</f>
        <v>0</v>
      </c>
      <c r="F184" s="9">
        <f>+costs!L184</f>
        <v>0</v>
      </c>
      <c r="H184" s="28">
        <f t="shared" si="14"/>
        <v>1.1978899808601679E-5</v>
      </c>
      <c r="J184" s="2">
        <f t="shared" si="17"/>
        <v>626.8588364431248</v>
      </c>
      <c r="L184" s="7">
        <f>+J184/payroll!F184</f>
        <v>1.1672339589092048E-3</v>
      </c>
      <c r="O184" s="2">
        <v>719.10419626895043</v>
      </c>
      <c r="P184" s="17">
        <f t="shared" si="15"/>
        <v>-92.245359825825631</v>
      </c>
      <c r="R184" s="28">
        <v>1.1979600850707464E-5</v>
      </c>
      <c r="S184" s="9">
        <f t="shared" si="18"/>
        <v>-7.0104210578511854E-10</v>
      </c>
      <c r="U184" s="25"/>
      <c r="X184" s="2"/>
    </row>
    <row r="185" spans="1:24" outlineLevel="1">
      <c r="A185" s="1" t="s">
        <v>284</v>
      </c>
      <c r="B185" s="1" t="s">
        <v>285</v>
      </c>
      <c r="C185" s="9">
        <f>+payroll!G185</f>
        <v>7.5510181503336273E-5</v>
      </c>
      <c r="D185" s="9">
        <f>+IFR!T185</f>
        <v>9.3142975642221754E-5</v>
      </c>
      <c r="E185" s="9">
        <f>+claims!R185</f>
        <v>0</v>
      </c>
      <c r="F185" s="9">
        <f>+costs!L185</f>
        <v>0</v>
      </c>
      <c r="H185" s="28">
        <f t="shared" si="14"/>
        <v>2.1081644643194752E-5</v>
      </c>
      <c r="J185" s="2">
        <f t="shared" si="17"/>
        <v>1103.2077605199652</v>
      </c>
      <c r="L185" s="7">
        <f>+J185/payroll!F185</f>
        <v>1.2090193817144807E-3</v>
      </c>
      <c r="O185" s="2">
        <v>1265.5472496208868</v>
      </c>
      <c r="P185" s="17">
        <f t="shared" si="15"/>
        <v>-162.33948910092158</v>
      </c>
      <c r="R185" s="28">
        <v>2.1082829146081955E-5</v>
      </c>
      <c r="S185" s="9">
        <f t="shared" si="18"/>
        <v>-1.184502887203472E-9</v>
      </c>
      <c r="U185" s="25"/>
      <c r="X185" s="2"/>
    </row>
    <row r="186" spans="1:24" outlineLevel="1">
      <c r="A186" s="1" t="s">
        <v>286</v>
      </c>
      <c r="B186" s="1" t="s">
        <v>287</v>
      </c>
      <c r="C186" s="9">
        <f>+payroll!G186</f>
        <v>2.4318760630333762E-3</v>
      </c>
      <c r="D186" s="9">
        <f>+IFR!T186</f>
        <v>3.1420842226499235E-3</v>
      </c>
      <c r="E186" s="9">
        <f>+claims!R186</f>
        <v>4.5802998891085326E-4</v>
      </c>
      <c r="F186" s="9">
        <f>+costs!L186</f>
        <v>0</v>
      </c>
      <c r="H186" s="28">
        <f t="shared" si="14"/>
        <v>7.6544953404704039E-4</v>
      </c>
      <c r="J186" s="2">
        <f t="shared" si="17"/>
        <v>40056.166420568064</v>
      </c>
      <c r="L186" s="7">
        <f>+J186/payroll!F186</f>
        <v>1.3630425512384499E-3</v>
      </c>
      <c r="O186" s="2">
        <v>45950.716622097694</v>
      </c>
      <c r="P186" s="17">
        <f t="shared" si="15"/>
        <v>-5894.5502015296297</v>
      </c>
      <c r="R186" s="28">
        <v>7.6549580268450929E-4</v>
      </c>
      <c r="S186" s="9">
        <f t="shared" si="18"/>
        <v>-4.6268637468897464E-8</v>
      </c>
      <c r="U186" s="25"/>
      <c r="X186" s="2"/>
    </row>
    <row r="187" spans="1:24" outlineLevel="1">
      <c r="A187" s="1" t="s">
        <v>288</v>
      </c>
      <c r="B187" s="1" t="s">
        <v>289</v>
      </c>
      <c r="C187" s="9">
        <f>+payroll!G187</f>
        <v>5.4101062009957149E-5</v>
      </c>
      <c r="D187" s="9">
        <f>+IFR!T187</f>
        <v>7.3413182772194484E-5</v>
      </c>
      <c r="E187" s="9">
        <f>+claims!R187</f>
        <v>0</v>
      </c>
      <c r="F187" s="9">
        <f>+costs!L187</f>
        <v>0</v>
      </c>
      <c r="H187" s="28">
        <f t="shared" si="14"/>
        <v>1.5939280597768956E-5</v>
      </c>
      <c r="J187" s="2">
        <f t="shared" si="17"/>
        <v>834.10655810671415</v>
      </c>
      <c r="L187" s="7">
        <f>+J187/payroll!F187</f>
        <v>1.2758429389578335E-3</v>
      </c>
      <c r="O187" s="2">
        <v>956.84393253289818</v>
      </c>
      <c r="P187" s="17">
        <f t="shared" si="15"/>
        <v>-122.73737442618403</v>
      </c>
      <c r="R187" s="28">
        <v>1.5940121678664604E-5</v>
      </c>
      <c r="S187" s="9">
        <f t="shared" si="18"/>
        <v>-8.4108089564840301E-10</v>
      </c>
      <c r="U187" s="25"/>
      <c r="X187" s="2"/>
    </row>
    <row r="188" spans="1:24" outlineLevel="1">
      <c r="A188" s="1" t="s">
        <v>290</v>
      </c>
      <c r="B188" s="1" t="s">
        <v>291</v>
      </c>
      <c r="C188" s="9">
        <f>+payroll!G188</f>
        <v>6.9058012070953902E-6</v>
      </c>
      <c r="D188" s="9">
        <f>+IFR!T188</f>
        <v>1.743563090839619E-5</v>
      </c>
      <c r="E188" s="9">
        <f>+claims!R188</f>
        <v>0</v>
      </c>
      <c r="F188" s="9">
        <f>+costs!L188</f>
        <v>0</v>
      </c>
      <c r="H188" s="28">
        <f t="shared" si="14"/>
        <v>3.0426790144364473E-6</v>
      </c>
      <c r="J188" s="2">
        <f t="shared" si="17"/>
        <v>159.22415723770808</v>
      </c>
      <c r="L188" s="7">
        <f>+J188/payroll!F188</f>
        <v>1.9079911478533276E-3</v>
      </c>
      <c r="O188" s="2">
        <v>182.64998077541821</v>
      </c>
      <c r="P188" s="17">
        <f t="shared" si="15"/>
        <v>-23.42582353771013</v>
      </c>
      <c r="R188" s="28">
        <v>3.0427772170314882E-6</v>
      </c>
      <c r="S188" s="9">
        <f t="shared" si="18"/>
        <v>-9.8202595040906989E-11</v>
      </c>
      <c r="U188" s="25"/>
      <c r="X188" s="2"/>
    </row>
    <row r="189" spans="1:24" outlineLevel="1">
      <c r="A189" s="1" t="s">
        <v>292</v>
      </c>
      <c r="B189" s="1" t="s">
        <v>293</v>
      </c>
      <c r="C189" s="9">
        <f>+payroll!G189</f>
        <v>5.5137102482010079E-5</v>
      </c>
      <c r="D189" s="9">
        <f>+IFR!T189</f>
        <v>6.2401205356365309E-5</v>
      </c>
      <c r="E189" s="9">
        <f>+claims!R189</f>
        <v>0</v>
      </c>
      <c r="F189" s="9">
        <f>+costs!L189</f>
        <v>0</v>
      </c>
      <c r="H189" s="28">
        <f t="shared" si="14"/>
        <v>1.4692288479796923E-5</v>
      </c>
      <c r="J189" s="2">
        <f t="shared" si="17"/>
        <v>768.85114729140776</v>
      </c>
      <c r="L189" s="7">
        <f>+J189/payroll!F189</f>
        <v>1.1539308814689892E-3</v>
      </c>
      <c r="O189" s="2">
        <v>881.99206118299333</v>
      </c>
      <c r="P189" s="17">
        <f t="shared" si="15"/>
        <v>-113.14091389158557</v>
      </c>
      <c r="R189" s="28">
        <v>1.4693159769176601E-5</v>
      </c>
      <c r="S189" s="9">
        <f t="shared" si="18"/>
        <v>-8.712893796780695E-10</v>
      </c>
      <c r="U189" s="25"/>
      <c r="X189" s="2"/>
    </row>
    <row r="190" spans="1:24" outlineLevel="1">
      <c r="A190" s="1" t="s">
        <v>294</v>
      </c>
      <c r="B190" s="1" t="s">
        <v>295</v>
      </c>
      <c r="C190" s="9">
        <f>+payroll!G190</f>
        <v>6.9247276774777439E-4</v>
      </c>
      <c r="D190" s="9">
        <f>+IFR!T190</f>
        <v>1.1122097189987465E-3</v>
      </c>
      <c r="E190" s="9">
        <f>+claims!R190</f>
        <v>1.7176124584156996E-4</v>
      </c>
      <c r="F190" s="9">
        <f>+costs!L190</f>
        <v>2.8821958772951027E-5</v>
      </c>
      <c r="H190" s="28">
        <f t="shared" si="14"/>
        <v>2.6864267298332118E-4</v>
      </c>
      <c r="J190" s="2">
        <f t="shared" si="17"/>
        <v>14058.138568315931</v>
      </c>
      <c r="L190" s="7">
        <f>+J190/payroll!F190</f>
        <v>1.6799895867862489E-3</v>
      </c>
      <c r="O190" s="2">
        <v>16126.739937995051</v>
      </c>
      <c r="P190" s="17">
        <f t="shared" si="15"/>
        <v>-2068.6013696791197</v>
      </c>
      <c r="R190" s="28">
        <v>2.686563483883333E-4</v>
      </c>
      <c r="S190" s="9">
        <f t="shared" si="18"/>
        <v>-1.3675405012125285E-8</v>
      </c>
      <c r="U190" s="25"/>
      <c r="X190" s="2"/>
    </row>
    <row r="191" spans="1:24" outlineLevel="1">
      <c r="A191" s="1" t="s">
        <v>296</v>
      </c>
      <c r="B191" s="1" t="s">
        <v>297</v>
      </c>
      <c r="C191" s="9">
        <f>+payroll!G191</f>
        <v>5.5761327705973696E-5</v>
      </c>
      <c r="D191" s="9">
        <f>+IFR!T191</f>
        <v>6.4236534925670165E-5</v>
      </c>
      <c r="E191" s="9">
        <f>+claims!R191</f>
        <v>0</v>
      </c>
      <c r="F191" s="9">
        <f>+costs!L191</f>
        <v>0</v>
      </c>
      <c r="H191" s="28">
        <f t="shared" si="14"/>
        <v>1.4999732828955483E-5</v>
      </c>
      <c r="J191" s="2">
        <f t="shared" si="17"/>
        <v>784.93978732211906</v>
      </c>
      <c r="L191" s="7">
        <f>+J191/payroll!F191</f>
        <v>1.1648894347770767E-3</v>
      </c>
      <c r="O191" s="2">
        <v>900.44765881603644</v>
      </c>
      <c r="P191" s="17">
        <f t="shared" si="15"/>
        <v>-115.50787149391738</v>
      </c>
      <c r="R191" s="28">
        <v>1.5000612700549049E-5</v>
      </c>
      <c r="S191" s="9">
        <f t="shared" si="18"/>
        <v>-8.7987159356659687E-10</v>
      </c>
      <c r="U191" s="25"/>
      <c r="X191" s="2"/>
    </row>
    <row r="192" spans="1:24" outlineLevel="1">
      <c r="A192" s="1" t="s">
        <v>298</v>
      </c>
      <c r="B192" s="1" t="s">
        <v>299</v>
      </c>
      <c r="C192" s="9">
        <f>+payroll!G192</f>
        <v>1.9919866250438744E-5</v>
      </c>
      <c r="D192" s="9">
        <f>+IFR!T192</f>
        <v>3.1200602678182655E-5</v>
      </c>
      <c r="E192" s="9">
        <f>+claims!R192</f>
        <v>0</v>
      </c>
      <c r="F192" s="9">
        <f>+costs!L192</f>
        <v>0</v>
      </c>
      <c r="H192" s="28">
        <f t="shared" si="14"/>
        <v>6.3900586160776744E-6</v>
      </c>
      <c r="J192" s="2">
        <f t="shared" si="17"/>
        <v>334.39337275377085</v>
      </c>
      <c r="L192" s="7">
        <f>+J192/payroll!F192</f>
        <v>1.3891614171869669E-3</v>
      </c>
      <c r="O192" s="2">
        <v>383.59685869598047</v>
      </c>
      <c r="P192" s="17">
        <f t="shared" si="15"/>
        <v>-49.203485942209625</v>
      </c>
      <c r="R192" s="28">
        <v>6.3903635642871249E-6</v>
      </c>
      <c r="S192" s="9">
        <f t="shared" si="18"/>
        <v>-3.0494820945046748E-10</v>
      </c>
      <c r="U192" s="25"/>
      <c r="X192" s="2"/>
    </row>
    <row r="193" spans="1:24" outlineLevel="1">
      <c r="A193" s="1" t="s">
        <v>300</v>
      </c>
      <c r="B193" s="1" t="s">
        <v>301</v>
      </c>
      <c r="C193" s="9">
        <f>+payroll!G193</f>
        <v>5.7148192440357882E-5</v>
      </c>
      <c r="D193" s="9">
        <f>+IFR!T193</f>
        <v>7.4330847556846905E-5</v>
      </c>
      <c r="E193" s="9">
        <f>+claims!R193</f>
        <v>0</v>
      </c>
      <c r="F193" s="9">
        <f>+costs!L193</f>
        <v>0</v>
      </c>
      <c r="H193" s="28">
        <f t="shared" si="14"/>
        <v>1.6434879999650598E-5</v>
      </c>
      <c r="J193" s="2">
        <f t="shared" si="17"/>
        <v>860.04139931661814</v>
      </c>
      <c r="L193" s="7">
        <f>+J193/payroll!F193</f>
        <v>1.2453697934071289E-3</v>
      </c>
      <c r="O193" s="2">
        <v>986.59653503663549</v>
      </c>
      <c r="P193" s="17">
        <f t="shared" si="15"/>
        <v>-126.55513572001735</v>
      </c>
      <c r="R193" s="28">
        <v>1.6435772106118411E-5</v>
      </c>
      <c r="S193" s="9">
        <f t="shared" si="18"/>
        <v>-8.9210646781313994E-10</v>
      </c>
      <c r="U193" s="25"/>
      <c r="X193" s="2"/>
    </row>
    <row r="194" spans="1:24" outlineLevel="1">
      <c r="A194" s="1" t="s">
        <v>302</v>
      </c>
      <c r="B194" s="1" t="s">
        <v>303</v>
      </c>
      <c r="C194" s="9">
        <f>+payroll!G194</f>
        <v>8.1094204386294218E-5</v>
      </c>
      <c r="D194" s="9">
        <f>+IFR!T194</f>
        <v>7.1577853202889615E-5</v>
      </c>
      <c r="E194" s="9">
        <f>+claims!R194</f>
        <v>0</v>
      </c>
      <c r="F194" s="9">
        <f>+costs!L194</f>
        <v>0</v>
      </c>
      <c r="H194" s="28">
        <f t="shared" si="14"/>
        <v>1.9084007198647977E-5</v>
      </c>
      <c r="J194" s="2">
        <f t="shared" si="17"/>
        <v>998.67089118037723</v>
      </c>
      <c r="L194" s="7">
        <f>+J194/payroll!F194</f>
        <v>1.0190935271632172E-3</v>
      </c>
      <c r="O194" s="2">
        <v>1145.6414813095305</v>
      </c>
      <c r="P194" s="17">
        <f t="shared" si="15"/>
        <v>-146.97059012915327</v>
      </c>
      <c r="R194" s="28">
        <v>1.9085311607566266E-5</v>
      </c>
      <c r="S194" s="9">
        <f t="shared" si="18"/>
        <v>-1.3044089182881057E-9</v>
      </c>
      <c r="U194" s="25"/>
      <c r="X194" s="2"/>
    </row>
    <row r="195" spans="1:24" outlineLevel="1">
      <c r="A195" s="1" t="s">
        <v>304</v>
      </c>
      <c r="B195" s="1" t="s">
        <v>305</v>
      </c>
      <c r="C195" s="9">
        <f>+payroll!G195</f>
        <v>4.4889725767440629E-5</v>
      </c>
      <c r="D195" s="9">
        <f>+IFR!T195</f>
        <v>4.3130244878664257E-5</v>
      </c>
      <c r="E195" s="9">
        <f>+claims!R195</f>
        <v>5.7253748613856657E-5</v>
      </c>
      <c r="F195" s="9">
        <f>+costs!L195</f>
        <v>3.4298594913289173E-5</v>
      </c>
      <c r="H195" s="28">
        <f t="shared" si="14"/>
        <v>4.0169715570815114E-5</v>
      </c>
      <c r="J195" s="2">
        <f t="shared" si="17"/>
        <v>2102.0913076583979</v>
      </c>
      <c r="L195" s="7">
        <f>+J195/payroll!F195</f>
        <v>3.8751283637201402E-3</v>
      </c>
      <c r="O195" s="2">
        <v>2411.3885122497509</v>
      </c>
      <c r="P195" s="17">
        <f t="shared" si="15"/>
        <v>-309.29720459135297</v>
      </c>
      <c r="R195" s="28">
        <v>4.0171468922883588E-5</v>
      </c>
      <c r="S195" s="9">
        <f t="shared" si="18"/>
        <v>-1.7533520684740464E-9</v>
      </c>
      <c r="U195" s="25"/>
      <c r="X195" s="2"/>
    </row>
    <row r="196" spans="1:24" outlineLevel="1">
      <c r="A196" s="1" t="s">
        <v>306</v>
      </c>
      <c r="B196" s="1" t="s">
        <v>307</v>
      </c>
      <c r="C196" s="9">
        <f>+payroll!G196</f>
        <v>8.0359108377844006E-5</v>
      </c>
      <c r="D196" s="9">
        <f>+IFR!T196</f>
        <v>7.9836836264761499E-5</v>
      </c>
      <c r="E196" s="9">
        <f>+claims!R196</f>
        <v>0</v>
      </c>
      <c r="F196" s="9">
        <f>+costs!L196</f>
        <v>0</v>
      </c>
      <c r="H196" s="28">
        <f t="shared" si="14"/>
        <v>2.0024493080325688E-5</v>
      </c>
      <c r="J196" s="2">
        <f t="shared" si="17"/>
        <v>1047.8867536468399</v>
      </c>
      <c r="L196" s="7">
        <f>+J196/payroll!F196</f>
        <v>1.0790975588868745E-3</v>
      </c>
      <c r="O196" s="2">
        <v>1202.095079009755</v>
      </c>
      <c r="P196" s="17">
        <f t="shared" si="15"/>
        <v>-154.20832536291505</v>
      </c>
      <c r="R196" s="28">
        <v>2.0025775549431749E-5</v>
      </c>
      <c r="S196" s="9">
        <f t="shared" si="18"/>
        <v>-1.2824691060605209E-9</v>
      </c>
      <c r="U196" s="25"/>
      <c r="X196" s="2"/>
    </row>
    <row r="197" spans="1:24" outlineLevel="1">
      <c r="A197" s="1" t="s">
        <v>308</v>
      </c>
      <c r="B197" s="1" t="s">
        <v>309</v>
      </c>
      <c r="C197" s="9">
        <f>+payroll!G197</f>
        <v>2.3769600025853157E-5</v>
      </c>
      <c r="D197" s="9">
        <f>+IFR!T197</f>
        <v>3.2118267462835083E-5</v>
      </c>
      <c r="E197" s="9">
        <f>+claims!R197</f>
        <v>1.1450749722771331E-4</v>
      </c>
      <c r="F197" s="9">
        <f>+costs!L197</f>
        <v>2.4308518683658311E-4</v>
      </c>
      <c r="H197" s="28">
        <f t="shared" si="14"/>
        <v>1.7001322012219288E-4</v>
      </c>
      <c r="J197" s="2">
        <f t="shared" si="17"/>
        <v>8896.8345214156452</v>
      </c>
      <c r="L197" s="7">
        <f>+J197/payroll!F197</f>
        <v>3.0973844096714501E-2</v>
      </c>
      <c r="O197" s="2">
        <v>10205.596691202138</v>
      </c>
      <c r="P197" s="17">
        <f t="shared" si="15"/>
        <v>-1308.7621697864924</v>
      </c>
      <c r="R197" s="28">
        <v>1.7001566037055447E-4</v>
      </c>
      <c r="S197" s="9">
        <f t="shared" si="18"/>
        <v>-2.4402483615878438E-9</v>
      </c>
      <c r="U197" s="25"/>
      <c r="X197" s="2"/>
    </row>
    <row r="198" spans="1:24" outlineLevel="1">
      <c r="A198" s="1" t="s">
        <v>310</v>
      </c>
      <c r="B198" s="1" t="s">
        <v>311</v>
      </c>
      <c r="C198" s="9">
        <f>+payroll!G198</f>
        <v>9.257907221271989E-5</v>
      </c>
      <c r="D198" s="9">
        <f>+IFR!T198</f>
        <v>1.2847306985134033E-4</v>
      </c>
      <c r="E198" s="9">
        <f>+claims!R198</f>
        <v>0</v>
      </c>
      <c r="F198" s="9">
        <f>+costs!L198</f>
        <v>0</v>
      </c>
      <c r="H198" s="28">
        <f t="shared" si="14"/>
        <v>2.7631517758007529E-5</v>
      </c>
      <c r="J198" s="2">
        <f t="shared" si="17"/>
        <v>1445.9642661427404</v>
      </c>
      <c r="L198" s="7">
        <f>+J198/payroll!F198</f>
        <v>1.2924870646171952E-3</v>
      </c>
      <c r="O198" s="2">
        <v>1658.7341500966625</v>
      </c>
      <c r="P198" s="17">
        <f t="shared" si="15"/>
        <v>-212.76988395392209</v>
      </c>
      <c r="R198" s="28">
        <v>2.7632953803767828E-5</v>
      </c>
      <c r="S198" s="9">
        <f t="shared" si="18"/>
        <v>-1.4360457602992003E-9</v>
      </c>
      <c r="U198" s="25"/>
      <c r="X198" s="2"/>
    </row>
    <row r="199" spans="1:24" outlineLevel="1">
      <c r="A199" s="1" t="s">
        <v>312</v>
      </c>
      <c r="B199" s="1" t="s">
        <v>313</v>
      </c>
      <c r="C199" s="9">
        <f>+payroll!G199</f>
        <v>3.1124201664603957E-4</v>
      </c>
      <c r="D199" s="9">
        <f>+IFR!T199</f>
        <v>3.9505468979287152E-4</v>
      </c>
      <c r="E199" s="9">
        <f>+claims!R199</f>
        <v>5.7253748613856657E-5</v>
      </c>
      <c r="F199" s="9">
        <f>+costs!L199</f>
        <v>0</v>
      </c>
      <c r="H199" s="28">
        <f t="shared" si="14"/>
        <v>9.6875150596942384E-5</v>
      </c>
      <c r="J199" s="2">
        <f t="shared" si="17"/>
        <v>5069.5009686820795</v>
      </c>
      <c r="L199" s="7">
        <f>+J199/payroll!F199</f>
        <v>1.3478714016304987E-3</v>
      </c>
      <c r="O199" s="2">
        <v>5815.5171008938096</v>
      </c>
      <c r="P199" s="17">
        <f t="shared" si="15"/>
        <v>-746.01613221173011</v>
      </c>
      <c r="R199" s="28">
        <v>9.6881055583654375E-5</v>
      </c>
      <c r="S199" s="9">
        <f t="shared" si="18"/>
        <v>-5.9049867119908032E-9</v>
      </c>
      <c r="U199" s="25"/>
      <c r="X199" s="2"/>
    </row>
    <row r="200" spans="1:24" outlineLevel="1">
      <c r="A200" s="1" t="s">
        <v>314</v>
      </c>
      <c r="B200" s="1" t="s">
        <v>315</v>
      </c>
      <c r="C200" s="9">
        <f>+payroll!G200</f>
        <v>6.5540266556731114E-5</v>
      </c>
      <c r="D200" s="9">
        <f>+IFR!T200</f>
        <v>9.543713760385282E-5</v>
      </c>
      <c r="E200" s="9">
        <f>+claims!R200</f>
        <v>0</v>
      </c>
      <c r="F200" s="9">
        <f>+costs!L200</f>
        <v>0</v>
      </c>
      <c r="H200" s="28">
        <f t="shared" si="14"/>
        <v>2.0122175520072992E-5</v>
      </c>
      <c r="J200" s="2">
        <f t="shared" si="17"/>
        <v>1052.9985002595756</v>
      </c>
      <c r="L200" s="7">
        <f>+J200/payroll!F200</f>
        <v>1.3295388073849151E-3</v>
      </c>
      <c r="O200" s="2">
        <v>1207.9424377803787</v>
      </c>
      <c r="P200" s="17">
        <f t="shared" si="15"/>
        <v>-154.94393752080305</v>
      </c>
      <c r="R200" s="28">
        <v>2.0123187057341734E-5</v>
      </c>
      <c r="S200" s="9">
        <f t="shared" si="18"/>
        <v>-1.0115372687418463E-9</v>
      </c>
      <c r="U200" s="25"/>
      <c r="X200" s="2"/>
    </row>
    <row r="201" spans="1:24" outlineLevel="1">
      <c r="A201" s="1" t="s">
        <v>316</v>
      </c>
      <c r="B201" s="1" t="s">
        <v>317</v>
      </c>
      <c r="C201" s="9">
        <f>+payroll!G201</f>
        <v>2.142983531559888E-4</v>
      </c>
      <c r="D201" s="9">
        <f>+IFR!T201</f>
        <v>2.9548806065808278E-4</v>
      </c>
      <c r="E201" s="9">
        <f>+claims!R201</f>
        <v>1.1450749722771331E-4</v>
      </c>
      <c r="F201" s="9">
        <f>+costs!L201</f>
        <v>1.6800074562452646E-5</v>
      </c>
      <c r="H201" s="28">
        <f t="shared" si="14"/>
        <v>9.0979471048387536E-5</v>
      </c>
      <c r="J201" s="2">
        <f t="shared" si="17"/>
        <v>4760.978576734632</v>
      </c>
      <c r="L201" s="7">
        <f>+J201/payroll!F201</f>
        <v>1.8384798008729481E-3</v>
      </c>
      <c r="O201" s="2">
        <v>5461.5843293133985</v>
      </c>
      <c r="P201" s="17">
        <f t="shared" si="15"/>
        <v>-700.60575257876644</v>
      </c>
      <c r="R201" s="28">
        <v>9.0984867863548003E-5</v>
      </c>
      <c r="S201" s="9">
        <f t="shared" si="18"/>
        <v>-5.3968151604669732E-9</v>
      </c>
      <c r="U201" s="25"/>
      <c r="X201" s="2"/>
    </row>
    <row r="202" spans="1:24" outlineLevel="1">
      <c r="A202" s="1" t="s">
        <v>318</v>
      </c>
      <c r="B202" s="1" t="s">
        <v>319</v>
      </c>
      <c r="C202" s="9">
        <f>+payroll!G202</f>
        <v>2.165151141350031E-5</v>
      </c>
      <c r="D202" s="9">
        <f>+IFR!T202</f>
        <v>4.037725052470696E-5</v>
      </c>
      <c r="E202" s="9">
        <f>+claims!R202</f>
        <v>0</v>
      </c>
      <c r="F202" s="9">
        <f>+costs!L202</f>
        <v>0</v>
      </c>
      <c r="H202" s="28">
        <f t="shared" si="14"/>
        <v>7.7535952422759084E-6</v>
      </c>
      <c r="J202" s="2">
        <f t="shared" si="17"/>
        <v>405.74758696403103</v>
      </c>
      <c r="L202" s="7">
        <f>+J202/payroll!F202</f>
        <v>1.5507764472572291E-3</v>
      </c>
      <c r="O202" s="2">
        <v>465.44755689164111</v>
      </c>
      <c r="P202" s="17">
        <f t="shared" si="15"/>
        <v>-59.699969927610084</v>
      </c>
      <c r="R202" s="28">
        <v>7.7539193588760461E-6</v>
      </c>
      <c r="S202" s="9">
        <f t="shared" si="18"/>
        <v>-3.2411660013771323E-10</v>
      </c>
      <c r="U202" s="25"/>
      <c r="X202" s="2"/>
    </row>
    <row r="203" spans="1:24" outlineLevel="1">
      <c r="A203" s="1" t="s">
        <v>320</v>
      </c>
      <c r="B203" s="1" t="s">
        <v>321</v>
      </c>
      <c r="C203" s="9">
        <f>+payroll!G203</f>
        <v>1.0870476048497097E-4</v>
      </c>
      <c r="D203" s="9">
        <f>+IFR!T203</f>
        <v>1.3214372898995007E-4</v>
      </c>
      <c r="E203" s="9">
        <f>+claims!R203</f>
        <v>0</v>
      </c>
      <c r="F203" s="9">
        <f>+costs!L203</f>
        <v>0</v>
      </c>
      <c r="H203" s="28">
        <f t="shared" si="14"/>
        <v>3.010606118436513E-5</v>
      </c>
      <c r="J203" s="2">
        <f t="shared" si="17"/>
        <v>1575.4577453235788</v>
      </c>
      <c r="L203" s="7">
        <f>+J203/payroll!F203</f>
        <v>1.1993326730404396E-3</v>
      </c>
      <c r="O203" s="2">
        <v>1807.2908285094686</v>
      </c>
      <c r="P203" s="17">
        <f t="shared" si="15"/>
        <v>-231.83308318588979</v>
      </c>
      <c r="R203" s="28">
        <v>3.0107768608529065E-5</v>
      </c>
      <c r="S203" s="9">
        <f t="shared" si="18"/>
        <v>-1.7074241639349215E-9</v>
      </c>
      <c r="U203" s="25"/>
      <c r="X203" s="2"/>
    </row>
    <row r="204" spans="1:24" outlineLevel="1">
      <c r="A204" s="1" t="s">
        <v>492</v>
      </c>
      <c r="B204" s="1" t="s">
        <v>490</v>
      </c>
      <c r="C204" s="9">
        <f>+payroll!G204</f>
        <v>4.3000792526444063E-5</v>
      </c>
      <c r="D204" s="9">
        <f>+IFR!T204</f>
        <v>4.3589077270990474E-5</v>
      </c>
      <c r="E204" s="9">
        <f>+claims!R204</f>
        <v>0</v>
      </c>
      <c r="F204" s="9">
        <f>+costs!L204</f>
        <v>1.1665709078802977E-3</v>
      </c>
      <c r="H204" s="28">
        <f t="shared" ref="H204:H261" si="19">(C204*$C$3)+(D204*$D$3)+(E204*$E$3)+(F204*$F$3)</f>
        <v>7.1076627845285782E-4</v>
      </c>
      <c r="J204" s="2">
        <f t="shared" si="17"/>
        <v>37194.577917250186</v>
      </c>
      <c r="L204" s="7">
        <f>+J204/payroll!F204</f>
        <v>7.1578837995356262E-2</v>
      </c>
      <c r="O204" s="2">
        <v>42665.48715227627</v>
      </c>
      <c r="P204" s="17">
        <f t="shared" ref="P204:P261" si="20">+J204-O204</f>
        <v>-5470.9092350260835</v>
      </c>
      <c r="R204" s="28">
        <v>7.1076696372676445E-4</v>
      </c>
      <c r="S204" s="9">
        <f t="shared" si="18"/>
        <v>-6.8527390663028487E-10</v>
      </c>
      <c r="U204" s="25"/>
      <c r="X204" s="2"/>
    </row>
    <row r="205" spans="1:24" outlineLevel="1">
      <c r="A205" s="1" t="s">
        <v>322</v>
      </c>
      <c r="B205" s="1" t="s">
        <v>323</v>
      </c>
      <c r="C205" s="9">
        <f>+payroll!G205</f>
        <v>9.7302939685704911E-5</v>
      </c>
      <c r="D205" s="9">
        <f>+IFR!T205</f>
        <v>1.1746109243551116E-4</v>
      </c>
      <c r="E205" s="9">
        <f>+claims!R205</f>
        <v>0</v>
      </c>
      <c r="F205" s="9">
        <f>+costs!L205</f>
        <v>0</v>
      </c>
      <c r="H205" s="28">
        <f t="shared" si="19"/>
        <v>2.6845504015152007E-5</v>
      </c>
      <c r="J205" s="2">
        <f t="shared" si="17"/>
        <v>1404.8319695088783</v>
      </c>
      <c r="L205" s="7">
        <f>+J205/payroll!F205</f>
        <v>1.1947578415925934E-3</v>
      </c>
      <c r="O205" s="2">
        <v>1611.5573910318767</v>
      </c>
      <c r="P205" s="17">
        <f t="shared" si="20"/>
        <v>-206.72542152299843</v>
      </c>
      <c r="R205" s="28">
        <v>2.6847033284935594E-5</v>
      </c>
      <c r="S205" s="9">
        <f t="shared" ref="S205:S235" si="21">+H205-R205</f>
        <v>-1.5292697835877275E-9</v>
      </c>
      <c r="U205" s="25"/>
      <c r="X205" s="2"/>
    </row>
    <row r="206" spans="1:24" outlineLevel="1">
      <c r="A206" s="1" t="s">
        <v>324</v>
      </c>
      <c r="B206" s="1" t="s">
        <v>325</v>
      </c>
      <c r="C206" s="9">
        <f>+payroll!G206</f>
        <v>4.8729243324826197E-5</v>
      </c>
      <c r="D206" s="9">
        <f>+IFR!T206</f>
        <v>9.3601808034547964E-5</v>
      </c>
      <c r="E206" s="9">
        <f>+claims!R206</f>
        <v>0</v>
      </c>
      <c r="F206" s="9">
        <f>+costs!L206</f>
        <v>0</v>
      </c>
      <c r="H206" s="28">
        <f t="shared" si="19"/>
        <v>1.7791381419921769E-5</v>
      </c>
      <c r="J206" s="2">
        <f t="shared" si="17"/>
        <v>931.02745943326033</v>
      </c>
      <c r="L206" s="7">
        <f>+J206/payroll!F206</f>
        <v>1.5810816252675077E-3</v>
      </c>
      <c r="O206" s="2">
        <v>1068.0138284542456</v>
      </c>
      <c r="P206" s="17">
        <f t="shared" si="20"/>
        <v>-136.98636902098531</v>
      </c>
      <c r="R206" s="28">
        <v>1.7792107783963787E-5</v>
      </c>
      <c r="S206" s="9">
        <f t="shared" si="21"/>
        <v>-7.2636404201725422E-10</v>
      </c>
      <c r="U206" s="25"/>
      <c r="X206" s="2"/>
    </row>
    <row r="207" spans="1:24" outlineLevel="1">
      <c r="A207" s="1" t="s">
        <v>326</v>
      </c>
      <c r="B207" s="1" t="s">
        <v>327</v>
      </c>
      <c r="C207" s="9">
        <f>+payroll!G207</f>
        <v>4.684822647012989E-5</v>
      </c>
      <c r="D207" s="9">
        <f>+IFR!T207</f>
        <v>4.9553898371231272E-5</v>
      </c>
      <c r="E207" s="9">
        <f>+claims!R207</f>
        <v>0</v>
      </c>
      <c r="F207" s="9">
        <f>+costs!L207</f>
        <v>0</v>
      </c>
      <c r="H207" s="28">
        <f t="shared" si="19"/>
        <v>1.2050265605170146E-5</v>
      </c>
      <c r="J207" s="2">
        <f t="shared" si="17"/>
        <v>630.59342650678184</v>
      </c>
      <c r="L207" s="7">
        <f>+J207/payroll!F207</f>
        <v>1.1138783267546353E-3</v>
      </c>
      <c r="O207" s="2">
        <v>723.39069215621214</v>
      </c>
      <c r="P207" s="17">
        <f t="shared" si="20"/>
        <v>-92.797265649430301</v>
      </c>
      <c r="R207" s="28">
        <v>1.2051009848240818E-5</v>
      </c>
      <c r="S207" s="9">
        <f t="shared" si="21"/>
        <v>-7.4424307067169561E-10</v>
      </c>
      <c r="U207" s="25"/>
      <c r="X207" s="2"/>
    </row>
    <row r="208" spans="1:24" outlineLevel="1">
      <c r="A208" s="1" t="s">
        <v>328</v>
      </c>
      <c r="B208" s="1" t="s">
        <v>329</v>
      </c>
      <c r="C208" s="9">
        <f>+payroll!G208</f>
        <v>1.409498457656471E-5</v>
      </c>
      <c r="D208" s="9">
        <f>+IFR!T208</f>
        <v>2.3400452008636991E-5</v>
      </c>
      <c r="E208" s="9">
        <f>+claims!R208</f>
        <v>0</v>
      </c>
      <c r="F208" s="9">
        <f>+costs!L208</f>
        <v>0</v>
      </c>
      <c r="H208" s="28">
        <f t="shared" si="19"/>
        <v>4.6869295731502124E-6</v>
      </c>
      <c r="J208" s="2">
        <f t="shared" ref="J208:J239" si="22">(+H208*$J$272)</f>
        <v>245.2682020602673</v>
      </c>
      <c r="L208" s="7">
        <f>+J208/payroll!F208</f>
        <v>1.4399854753398445E-3</v>
      </c>
      <c r="O208" s="2">
        <v>281.35702105628633</v>
      </c>
      <c r="P208" s="17">
        <f t="shared" si="20"/>
        <v>-36.088818996019029</v>
      </c>
      <c r="R208" s="28">
        <v>4.6871438468672156E-6</v>
      </c>
      <c r="S208" s="9">
        <f t="shared" si="21"/>
        <v>-2.1427371700324081E-10</v>
      </c>
      <c r="U208" s="25"/>
      <c r="X208" s="2"/>
    </row>
    <row r="209" spans="1:24" outlineLevel="1">
      <c r="A209" s="1" t="s">
        <v>330</v>
      </c>
      <c r="B209" s="1" t="s">
        <v>331</v>
      </c>
      <c r="C209" s="9">
        <f>+payroll!G209</f>
        <v>1.4428761134498505E-4</v>
      </c>
      <c r="D209" s="9">
        <f>+IFR!T209</f>
        <v>2.3400452008636992E-4</v>
      </c>
      <c r="E209" s="9">
        <f>+claims!R209</f>
        <v>5.7253748613856657E-5</v>
      </c>
      <c r="F209" s="9">
        <f>+costs!L209</f>
        <v>1.6831650535223917E-5</v>
      </c>
      <c r="H209" s="28">
        <f t="shared" si="19"/>
        <v>6.5973569042132222E-5</v>
      </c>
      <c r="J209" s="2">
        <f t="shared" si="22"/>
        <v>3452.4134425145298</v>
      </c>
      <c r="L209" s="7">
        <f>+J209/payroll!F209</f>
        <v>1.9800457462051586E-3</v>
      </c>
      <c r="O209" s="2">
        <v>3960.4154822131013</v>
      </c>
      <c r="P209" s="17">
        <f t="shared" si="20"/>
        <v>-508.00203969857148</v>
      </c>
      <c r="R209" s="28">
        <v>6.5976804093256314E-5</v>
      </c>
      <c r="S209" s="9">
        <f t="shared" si="21"/>
        <v>-3.2350511240924595E-9</v>
      </c>
      <c r="U209" s="25"/>
      <c r="X209" s="2"/>
    </row>
    <row r="210" spans="1:24" outlineLevel="1">
      <c r="A210" s="1" t="s">
        <v>332</v>
      </c>
      <c r="B210" s="1" t="s">
        <v>561</v>
      </c>
      <c r="C210" s="9">
        <f>+payroll!G210</f>
        <v>6.8725642596275185E-5</v>
      </c>
      <c r="D210" s="9">
        <f>+IFR!T210</f>
        <v>6.8824858848932325E-5</v>
      </c>
      <c r="E210" s="9">
        <f>+claims!R210</f>
        <v>0</v>
      </c>
      <c r="F210" s="9">
        <f>+costs!L210</f>
        <v>0</v>
      </c>
      <c r="H210" s="28">
        <f t="shared" si="19"/>
        <v>1.719381268065094E-5</v>
      </c>
      <c r="J210" s="2">
        <f t="shared" si="22"/>
        <v>899.75653718002354</v>
      </c>
      <c r="L210" s="7">
        <f>+J210/payroll!F210</f>
        <v>1.0833971042732969E-3</v>
      </c>
      <c r="O210" s="2">
        <v>1032.1655350690862</v>
      </c>
      <c r="P210" s="17">
        <f t="shared" si="20"/>
        <v>-132.40899788906268</v>
      </c>
      <c r="R210" s="28">
        <v>1.7194908868755889E-5</v>
      </c>
      <c r="S210" s="9">
        <f t="shared" si="21"/>
        <v>-1.0961881049482481E-9</v>
      </c>
      <c r="U210" s="25"/>
      <c r="X210" s="2"/>
    </row>
    <row r="211" spans="1:24" outlineLevel="1">
      <c r="A211" s="1" t="s">
        <v>334</v>
      </c>
      <c r="B211" s="1" t="s">
        <v>335</v>
      </c>
      <c r="C211" s="9">
        <f>+payroll!G211</f>
        <v>4.8322347303019537E-5</v>
      </c>
      <c r="D211" s="9">
        <f>+IFR!T211</f>
        <v>5.781288143310315E-5</v>
      </c>
      <c r="E211" s="9">
        <f>+claims!R211</f>
        <v>0</v>
      </c>
      <c r="F211" s="9">
        <f>+costs!L211</f>
        <v>0</v>
      </c>
      <c r="H211" s="28">
        <f t="shared" si="19"/>
        <v>1.3266903592015337E-5</v>
      </c>
      <c r="J211" s="2">
        <f t="shared" si="22"/>
        <v>694.26039801435206</v>
      </c>
      <c r="L211" s="7">
        <f>+J211/payroll!F211</f>
        <v>1.1889287788515201E-3</v>
      </c>
      <c r="O211" s="2">
        <v>796.42324655120694</v>
      </c>
      <c r="P211" s="17">
        <f t="shared" si="20"/>
        <v>-102.16284853685488</v>
      </c>
      <c r="R211" s="28">
        <v>1.3267663645143986E-5</v>
      </c>
      <c r="S211" s="9">
        <f t="shared" si="21"/>
        <v>-7.6005312864979449E-10</v>
      </c>
      <c r="U211" s="25"/>
      <c r="X211" s="2"/>
    </row>
    <row r="212" spans="1:24" outlineLevel="1">
      <c r="A212" s="1" t="s">
        <v>336</v>
      </c>
      <c r="B212" s="1" t="s">
        <v>337</v>
      </c>
      <c r="C212" s="9">
        <f>+payroll!G212</f>
        <v>4.3754186575394787E-4</v>
      </c>
      <c r="D212" s="9">
        <f>+IFR!T212</f>
        <v>6.0290576351664719E-4</v>
      </c>
      <c r="E212" s="9">
        <f>+claims!R212</f>
        <v>4.0077624029699664E-4</v>
      </c>
      <c r="F212" s="9">
        <f>+costs!L212</f>
        <v>6.1435335734196531E-5</v>
      </c>
      <c r="H212" s="28">
        <f t="shared" si="19"/>
        <v>2.2703359114389181E-4</v>
      </c>
      <c r="J212" s="2">
        <f t="shared" si="22"/>
        <v>11880.724862208963</v>
      </c>
      <c r="L212" s="7">
        <f>+J212/payroll!F212</f>
        <v>2.2470089026780313E-3</v>
      </c>
      <c r="O212" s="2">
        <v>13629.077083700982</v>
      </c>
      <c r="P212" s="17">
        <f t="shared" si="20"/>
        <v>-1748.3522214920195</v>
      </c>
      <c r="R212" s="28">
        <v>2.2704762991703823E-4</v>
      </c>
      <c r="S212" s="9">
        <f t="shared" si="21"/>
        <v>-1.4038773146426726E-8</v>
      </c>
      <c r="U212" s="25"/>
      <c r="X212" s="2"/>
    </row>
    <row r="213" spans="1:24" outlineLevel="1">
      <c r="A213" s="1" t="s">
        <v>589</v>
      </c>
      <c r="B213" s="1" t="s">
        <v>590</v>
      </c>
      <c r="C213" s="9">
        <f>+payroll!G213</f>
        <v>8.576083935714548E-5</v>
      </c>
      <c r="D213" s="9">
        <f>+IFR!T213</f>
        <v>1.303083994206452E-4</v>
      </c>
      <c r="E213" s="9">
        <f>+claims!R213</f>
        <v>0</v>
      </c>
      <c r="F213" s="9">
        <f>+costs!L213</f>
        <v>0</v>
      </c>
      <c r="H213" s="28">
        <f t="shared" si="19"/>
        <v>2.7008654847223833E-5</v>
      </c>
      <c r="J213" s="2">
        <f t="shared" si="22"/>
        <v>1413.3696935395806</v>
      </c>
      <c r="L213" s="7">
        <f>+J213/payroll!F213</f>
        <v>1.36379225818106E-3</v>
      </c>
      <c r="O213" s="2">
        <v>1621.3381953178252</v>
      </c>
      <c r="P213" s="17">
        <f t="shared" si="20"/>
        <v>-207.96850177824467</v>
      </c>
      <c r="R213" s="28">
        <v>2.7009972302608535E-5</v>
      </c>
      <c r="S213" s="9">
        <f t="shared" si="21"/>
        <v>-1.3174553847018181E-9</v>
      </c>
      <c r="U213" s="25"/>
      <c r="X213" s="2"/>
    </row>
    <row r="214" spans="1:24" outlineLevel="1">
      <c r="A214" s="1" t="s">
        <v>475</v>
      </c>
      <c r="B214" s="1" t="s">
        <v>342</v>
      </c>
      <c r="C214" s="9">
        <f>+payroll!G214</f>
        <v>4.4668427476379029E-5</v>
      </c>
      <c r="D214" s="9">
        <f>+IFR!T214</f>
        <v>5.2306892725188569E-5</v>
      </c>
      <c r="E214" s="9">
        <f>+claims!R214</f>
        <v>0</v>
      </c>
      <c r="F214" s="9">
        <f>+costs!L214</f>
        <v>0</v>
      </c>
      <c r="H214" s="28">
        <f t="shared" si="19"/>
        <v>1.212191502519595E-5</v>
      </c>
      <c r="J214" s="2">
        <f t="shared" si="22"/>
        <v>634.34285865721586</v>
      </c>
      <c r="L214" s="7">
        <f>+J214/payroll!F214</f>
        <v>1.175181268044804E-3</v>
      </c>
      <c r="O214" s="2">
        <v>727.68919646310201</v>
      </c>
      <c r="P214" s="17">
        <f t="shared" si="20"/>
        <v>-93.346337805886151</v>
      </c>
      <c r="R214" s="28">
        <v>1.2122618894772274E-5</v>
      </c>
      <c r="S214" s="9">
        <f t="shared" si="21"/>
        <v>-7.0386957632397561E-10</v>
      </c>
      <c r="U214" s="25"/>
      <c r="X214" s="2"/>
    </row>
    <row r="215" spans="1:24" outlineLevel="1">
      <c r="A215" s="1" t="s">
        <v>476</v>
      </c>
      <c r="B215" s="1" t="s">
        <v>338</v>
      </c>
      <c r="C215" s="9">
        <f>+payroll!G215</f>
        <v>2.1431467237575614E-5</v>
      </c>
      <c r="D215" s="9">
        <f>+IFR!T215</f>
        <v>2.4776949185615636E-5</v>
      </c>
      <c r="E215" s="9">
        <f>+claims!R215</f>
        <v>0</v>
      </c>
      <c r="F215" s="9">
        <f>+costs!L215</f>
        <v>0</v>
      </c>
      <c r="H215" s="28">
        <f t="shared" si="19"/>
        <v>5.7760520528989059E-6</v>
      </c>
      <c r="J215" s="2">
        <f t="shared" si="22"/>
        <v>302.262255045757</v>
      </c>
      <c r="L215" s="7">
        <f>+J215/payroll!F215</f>
        <v>1.1671145477961311E-3</v>
      </c>
      <c r="O215" s="2">
        <v>346.74163439068894</v>
      </c>
      <c r="P215" s="17">
        <f t="shared" si="20"/>
        <v>-44.479379344931942</v>
      </c>
      <c r="R215" s="28">
        <v>5.7763901252063219E-6</v>
      </c>
      <c r="S215" s="9">
        <f t="shared" si="21"/>
        <v>-3.38072307416059E-10</v>
      </c>
      <c r="U215" s="25"/>
      <c r="X215" s="2"/>
    </row>
    <row r="216" spans="1:24" outlineLevel="1">
      <c r="A216" s="1" t="s">
        <v>340</v>
      </c>
      <c r="B216" s="1" t="s">
        <v>341</v>
      </c>
      <c r="C216" s="9">
        <f>+payroll!G216</f>
        <v>2.8349549518517415E-4</v>
      </c>
      <c r="D216" s="9">
        <f>+IFR!T216</f>
        <v>3.5880693079910054E-4</v>
      </c>
      <c r="E216" s="9">
        <f>+claims!R216</f>
        <v>0</v>
      </c>
      <c r="F216" s="9">
        <f>+costs!L216</f>
        <v>0</v>
      </c>
      <c r="H216" s="28">
        <f t="shared" si="19"/>
        <v>8.0287803248034343E-5</v>
      </c>
      <c r="J216" s="2">
        <f t="shared" si="22"/>
        <v>4201.4809146744474</v>
      </c>
      <c r="L216" s="7">
        <f>+J216/payroll!F216</f>
        <v>1.2264157010127583E-3</v>
      </c>
      <c r="O216" s="2">
        <v>4819.7337650669097</v>
      </c>
      <c r="P216" s="17">
        <f t="shared" si="20"/>
        <v>-618.25285039246228</v>
      </c>
      <c r="R216" s="28">
        <v>8.0292240000480274E-5</v>
      </c>
      <c r="S216" s="9">
        <f t="shared" si="21"/>
        <v>-4.4367524459313235E-9</v>
      </c>
      <c r="U216" s="25"/>
      <c r="X216" s="2"/>
    </row>
    <row r="217" spans="1:24" outlineLevel="1">
      <c r="A217" s="1" t="s">
        <v>343</v>
      </c>
      <c r="B217" s="1" t="s">
        <v>344</v>
      </c>
      <c r="C217" s="9">
        <f>+payroll!G217</f>
        <v>2.2665800980446548E-4</v>
      </c>
      <c r="D217" s="9">
        <f>+IFR!T217</f>
        <v>2.6933461429548848E-4</v>
      </c>
      <c r="E217" s="9">
        <f>+claims!R217</f>
        <v>5.7253748613856657E-5</v>
      </c>
      <c r="F217" s="9">
        <f>+costs!L217</f>
        <v>6.5258725745649779E-4</v>
      </c>
      <c r="H217" s="28">
        <f t="shared" si="19"/>
        <v>4.6213949477847142E-4</v>
      </c>
      <c r="J217" s="2">
        <f t="shared" si="22"/>
        <v>24183.875865062684</v>
      </c>
      <c r="L217" s="7">
        <f>+J217/payroll!F217</f>
        <v>8.8295039035873844E-3</v>
      </c>
      <c r="O217" s="2">
        <v>27741.304883612273</v>
      </c>
      <c r="P217" s="17">
        <f t="shared" si="20"/>
        <v>-3557.4290185495884</v>
      </c>
      <c r="R217" s="28">
        <v>4.6214409720835904E-4</v>
      </c>
      <c r="S217" s="9">
        <f t="shared" si="21"/>
        <v>-4.6024298876136058E-9</v>
      </c>
      <c r="U217" s="25"/>
      <c r="X217" s="2"/>
    </row>
    <row r="218" spans="1:24" outlineLevel="1">
      <c r="A218" s="1" t="s">
        <v>345</v>
      </c>
      <c r="B218" s="1" t="s">
        <v>346</v>
      </c>
      <c r="C218" s="9">
        <f>+payroll!G218</f>
        <v>2.7484222859322251E-5</v>
      </c>
      <c r="D218" s="9">
        <f>+IFR!T218</f>
        <v>3.6247758993771025E-5</v>
      </c>
      <c r="E218" s="9">
        <f>+claims!R218</f>
        <v>0</v>
      </c>
      <c r="F218" s="9">
        <f>+costs!L218</f>
        <v>0</v>
      </c>
      <c r="H218" s="28">
        <f t="shared" si="19"/>
        <v>7.966497731636659E-6</v>
      </c>
      <c r="J218" s="2">
        <f t="shared" si="22"/>
        <v>416.88882771977154</v>
      </c>
      <c r="L218" s="7">
        <f>+J218/payroll!F218</f>
        <v>1.2552154152044007E-3</v>
      </c>
      <c r="O218" s="2">
        <v>478.23380227177375</v>
      </c>
      <c r="P218" s="17">
        <f t="shared" si="20"/>
        <v>-61.344974552002213</v>
      </c>
      <c r="R218" s="28">
        <v>7.9669262038199789E-6</v>
      </c>
      <c r="S218" s="9">
        <f t="shared" si="21"/>
        <v>-4.2847218331992668E-10</v>
      </c>
      <c r="U218" s="25"/>
      <c r="X218" s="2"/>
    </row>
    <row r="219" spans="1:24" outlineLevel="1">
      <c r="A219" s="1" t="s">
        <v>347</v>
      </c>
      <c r="B219" s="1" t="s">
        <v>348</v>
      </c>
      <c r="C219" s="9">
        <f>+payroll!G219</f>
        <v>3.4738143285289055E-5</v>
      </c>
      <c r="D219" s="9">
        <f>+IFR!T219</f>
        <v>3.6706591386097242E-5</v>
      </c>
      <c r="E219" s="9">
        <f>+claims!R219</f>
        <v>0</v>
      </c>
      <c r="F219" s="9">
        <f>+costs!L219</f>
        <v>0</v>
      </c>
      <c r="H219" s="28">
        <f t="shared" si="19"/>
        <v>8.9305918339232871E-6</v>
      </c>
      <c r="J219" s="2">
        <f t="shared" si="22"/>
        <v>467.34011430179208</v>
      </c>
      <c r="L219" s="7">
        <f>+J219/payroll!F219</f>
        <v>1.113289023833335E-3</v>
      </c>
      <c r="O219" s="2">
        <v>536.1132660503813</v>
      </c>
      <c r="P219" s="17">
        <f t="shared" si="20"/>
        <v>-68.773151748589214</v>
      </c>
      <c r="R219" s="28">
        <v>8.931143736019404E-6</v>
      </c>
      <c r="S219" s="9">
        <f t="shared" si="21"/>
        <v>-5.519020961169106E-10</v>
      </c>
      <c r="U219" s="25"/>
      <c r="X219" s="2"/>
    </row>
    <row r="220" spans="1:24" outlineLevel="1">
      <c r="A220" s="1" t="s">
        <v>349</v>
      </c>
      <c r="B220" s="1" t="s">
        <v>350</v>
      </c>
      <c r="C220" s="9">
        <f>+payroll!G220</f>
        <v>2.4537576814727413E-4</v>
      </c>
      <c r="D220" s="9">
        <f>+IFR!T220</f>
        <v>2.752994353957293E-4</v>
      </c>
      <c r="E220" s="9">
        <f>+claims!R220</f>
        <v>5.7253748613856657E-5</v>
      </c>
      <c r="F220" s="9">
        <f>+costs!L220</f>
        <v>1.9513582939730002E-6</v>
      </c>
      <c r="H220" s="28">
        <f t="shared" si="19"/>
        <v>7.4843277711337719E-5</v>
      </c>
      <c r="J220" s="2">
        <f t="shared" si="22"/>
        <v>3916.5675255109627</v>
      </c>
      <c r="L220" s="7">
        <f>+J220/payroll!F220</f>
        <v>1.3208558240411614E-3</v>
      </c>
      <c r="O220" s="2">
        <v>4492.9418340822567</v>
      </c>
      <c r="P220" s="17">
        <f t="shared" si="20"/>
        <v>-576.37430857129402</v>
      </c>
      <c r="R220" s="28">
        <v>7.4848193206232519E-5</v>
      </c>
      <c r="S220" s="9">
        <f t="shared" si="21"/>
        <v>-4.9154948947999211E-9</v>
      </c>
      <c r="U220" s="25"/>
      <c r="X220" s="2"/>
    </row>
    <row r="221" spans="1:24" outlineLevel="1">
      <c r="A221" s="1" t="s">
        <v>351</v>
      </c>
      <c r="B221" s="1" t="s">
        <v>352</v>
      </c>
      <c r="C221" s="9">
        <f>+payroll!G221</f>
        <v>4.3102360681229859E-5</v>
      </c>
      <c r="D221" s="9">
        <f>+IFR!T221</f>
        <v>4.5883239232621554E-5</v>
      </c>
      <c r="E221" s="9">
        <f>+claims!R221</f>
        <v>0</v>
      </c>
      <c r="F221" s="9">
        <f>+costs!L221</f>
        <v>0</v>
      </c>
      <c r="H221" s="28">
        <f t="shared" si="19"/>
        <v>1.1123199989231427E-5</v>
      </c>
      <c r="J221" s="2">
        <f t="shared" si="22"/>
        <v>582.07984991801391</v>
      </c>
      <c r="L221" s="7">
        <f>+J221/payroll!F221</f>
        <v>1.1175397450334959E-3</v>
      </c>
      <c r="O221" s="2">
        <v>667.73776904699992</v>
      </c>
      <c r="P221" s="17">
        <f t="shared" si="20"/>
        <v>-85.657919128986009</v>
      </c>
      <c r="R221" s="28">
        <v>1.1123884393428252E-5</v>
      </c>
      <c r="S221" s="9">
        <f t="shared" si="21"/>
        <v>-6.8440419682548712E-10</v>
      </c>
      <c r="U221" s="25"/>
      <c r="X221" s="2"/>
    </row>
    <row r="222" spans="1:24" outlineLevel="1">
      <c r="A222" s="1" t="s">
        <v>353</v>
      </c>
      <c r="B222" s="1" t="s">
        <v>354</v>
      </c>
      <c r="C222" s="9">
        <f>+payroll!G222</f>
        <v>5.0210305305026434E-5</v>
      </c>
      <c r="D222" s="9">
        <f>+IFR!T222</f>
        <v>5.6436384256124505E-5</v>
      </c>
      <c r="E222" s="9">
        <f>+claims!R222</f>
        <v>0</v>
      </c>
      <c r="F222" s="9">
        <f>+costs!L222</f>
        <v>0</v>
      </c>
      <c r="H222" s="28">
        <f t="shared" si="19"/>
        <v>1.3330836195143868E-5</v>
      </c>
      <c r="J222" s="2">
        <f t="shared" si="22"/>
        <v>697.606007197856</v>
      </c>
      <c r="L222" s="7">
        <f>+J222/payroll!F222</f>
        <v>1.1497378230246619E-3</v>
      </c>
      <c r="O222" s="2">
        <v>800.26298431893383</v>
      </c>
      <c r="P222" s="17">
        <f t="shared" si="20"/>
        <v>-102.65697712107783</v>
      </c>
      <c r="R222" s="28">
        <v>1.3331630071800118E-5</v>
      </c>
      <c r="S222" s="9">
        <f t="shared" si="21"/>
        <v>-7.9387665625007902E-10</v>
      </c>
      <c r="U222" s="25"/>
      <c r="X222" s="2"/>
    </row>
    <row r="223" spans="1:24" outlineLevel="1">
      <c r="A223" s="1" t="s">
        <v>355</v>
      </c>
      <c r="B223" s="1" t="s">
        <v>356</v>
      </c>
      <c r="C223" s="9">
        <f>+payroll!G223</f>
        <v>7.3360076750744665E-5</v>
      </c>
      <c r="D223" s="9">
        <f>+IFR!T223</f>
        <v>9.819013195781011E-5</v>
      </c>
      <c r="E223" s="9">
        <f>+claims!R223</f>
        <v>5.7253748613856657E-5</v>
      </c>
      <c r="F223" s="9">
        <f>+costs!L223</f>
        <v>4.5990956690741542E-4</v>
      </c>
      <c r="H223" s="28">
        <f t="shared" si="19"/>
        <v>3.0597757852509711E-4</v>
      </c>
      <c r="J223" s="2">
        <f t="shared" si="22"/>
        <v>16011.883554965385</v>
      </c>
      <c r="L223" s="7">
        <f>+J223/payroll!F223</f>
        <v>1.8061928346943649E-2</v>
      </c>
      <c r="O223" s="2">
        <v>18367.166747674397</v>
      </c>
      <c r="P223" s="17">
        <f t="shared" si="20"/>
        <v>-2355.2831927090119</v>
      </c>
      <c r="R223" s="28">
        <v>3.059797558367086E-4</v>
      </c>
      <c r="S223" s="9">
        <f t="shared" si="21"/>
        <v>-2.1773116114969307E-9</v>
      </c>
      <c r="U223" s="25"/>
      <c r="X223" s="2"/>
    </row>
    <row r="224" spans="1:24" outlineLevel="1">
      <c r="A224" s="1" t="s">
        <v>357</v>
      </c>
      <c r="B224" s="1" t="s">
        <v>358</v>
      </c>
      <c r="C224" s="9">
        <f>+payroll!G224</f>
        <v>7.827409596609968E-5</v>
      </c>
      <c r="D224" s="9">
        <f>+IFR!T224</f>
        <v>8.809581932663337E-5</v>
      </c>
      <c r="E224" s="9">
        <f>+claims!R224</f>
        <v>0</v>
      </c>
      <c r="F224" s="9">
        <f>+costs!L224</f>
        <v>0</v>
      </c>
      <c r="H224" s="28">
        <f t="shared" si="19"/>
        <v>2.0796239411591631E-5</v>
      </c>
      <c r="J224" s="2">
        <f t="shared" si="22"/>
        <v>1088.2724330478175</v>
      </c>
      <c r="L224" s="7">
        <f>+J224/payroll!F224</f>
        <v>1.1505381847112602E-3</v>
      </c>
      <c r="O224" s="2">
        <v>1248.41829694237</v>
      </c>
      <c r="P224" s="17">
        <f t="shared" si="20"/>
        <v>-160.14586389455258</v>
      </c>
      <c r="R224" s="28">
        <v>2.0797476874263836E-5</v>
      </c>
      <c r="S224" s="9">
        <f t="shared" si="21"/>
        <v>-1.2374626722051697E-9</v>
      </c>
      <c r="U224" s="25"/>
      <c r="X224" s="2"/>
    </row>
    <row r="225" spans="1:24" outlineLevel="1">
      <c r="A225" s="1" t="s">
        <v>359</v>
      </c>
      <c r="B225" s="1" t="s">
        <v>360</v>
      </c>
      <c r="C225" s="9">
        <f>+payroll!G225</f>
        <v>3.2935453251390795E-5</v>
      </c>
      <c r="D225" s="9">
        <f>+IFR!T225</f>
        <v>4.9553898371231272E-5</v>
      </c>
      <c r="E225" s="9">
        <f>+claims!R225</f>
        <v>0</v>
      </c>
      <c r="F225" s="9">
        <f>+costs!L225</f>
        <v>0</v>
      </c>
      <c r="H225" s="28">
        <f t="shared" si="19"/>
        <v>1.0311168952827758E-5</v>
      </c>
      <c r="J225" s="2">
        <f t="shared" si="22"/>
        <v>539.58606177645265</v>
      </c>
      <c r="L225" s="7">
        <f>+J225/payroll!F225</f>
        <v>1.3557466727344271E-3</v>
      </c>
      <c r="O225" s="2">
        <v>618.98298514373971</v>
      </c>
      <c r="P225" s="17">
        <f t="shared" si="20"/>
        <v>-79.396923367287059</v>
      </c>
      <c r="R225" s="28">
        <v>1.0311675462158005E-5</v>
      </c>
      <c r="S225" s="9">
        <f t="shared" si="21"/>
        <v>-5.0650933024632555E-10</v>
      </c>
      <c r="U225" s="25"/>
      <c r="X225" s="2"/>
    </row>
    <row r="226" spans="1:24" outlineLevel="1">
      <c r="A226" s="1" t="s">
        <v>361</v>
      </c>
      <c r="B226" s="1" t="s">
        <v>362</v>
      </c>
      <c r="C226" s="9">
        <f>+payroll!G226</f>
        <v>5.0351619917206726E-4</v>
      </c>
      <c r="D226" s="9">
        <f>+IFR!T226</f>
        <v>7.7909740216991388E-4</v>
      </c>
      <c r="E226" s="9">
        <f>+claims!R226</f>
        <v>2.2901499445542663E-4</v>
      </c>
      <c r="F226" s="9">
        <f>+costs!L226</f>
        <v>2.5607478715720288E-4</v>
      </c>
      <c r="H226" s="28">
        <f t="shared" si="19"/>
        <v>3.4832382163038335E-4</v>
      </c>
      <c r="J226" s="2">
        <f t="shared" si="22"/>
        <v>18227.873095311672</v>
      </c>
      <c r="L226" s="7">
        <f>+J226/payroll!F226</f>
        <v>2.9957393085885747E-3</v>
      </c>
      <c r="O226" s="2">
        <v>20909.682519769172</v>
      </c>
      <c r="P226" s="17">
        <f t="shared" si="20"/>
        <v>-2681.8094244575004</v>
      </c>
      <c r="R226" s="28">
        <v>3.4833568181288254E-4</v>
      </c>
      <c r="S226" s="9">
        <f t="shared" si="21"/>
        <v>-1.1860182499187459E-8</v>
      </c>
      <c r="U226" s="25"/>
      <c r="X226" s="2"/>
    </row>
    <row r="227" spans="1:24" outlineLevel="1">
      <c r="A227" s="1" t="s">
        <v>363</v>
      </c>
      <c r="B227" s="1" t="s">
        <v>364</v>
      </c>
      <c r="C227" s="9">
        <f>+payroll!G227</f>
        <v>7.558467315646556E-5</v>
      </c>
      <c r="D227" s="9">
        <f>+IFR!T227</f>
        <v>1.0323728827339849E-4</v>
      </c>
      <c r="E227" s="9">
        <f>+claims!R227</f>
        <v>1.1450749722771331E-4</v>
      </c>
      <c r="F227" s="9">
        <f>+costs!L227</f>
        <v>1.3402757655306369E-6</v>
      </c>
      <c r="H227" s="28">
        <f t="shared" si="19"/>
        <v>4.0333035222208384E-5</v>
      </c>
      <c r="J227" s="2">
        <f t="shared" si="22"/>
        <v>2110.6378660466039</v>
      </c>
      <c r="L227" s="7">
        <f>+J227/payroll!F227</f>
        <v>2.3107951903965705E-3</v>
      </c>
      <c r="O227" s="2">
        <v>2421.2816970848112</v>
      </c>
      <c r="P227" s="17">
        <f t="shared" si="20"/>
        <v>-310.64383103820728</v>
      </c>
      <c r="R227" s="28">
        <v>4.0336280095007478E-5</v>
      </c>
      <c r="S227" s="9">
        <f t="shared" si="21"/>
        <v>-3.2448727990938065E-9</v>
      </c>
      <c r="U227" s="25"/>
      <c r="X227" s="2"/>
    </row>
    <row r="228" spans="1:24" outlineLevel="1">
      <c r="A228" s="1" t="s">
        <v>365</v>
      </c>
      <c r="B228" s="1" t="s">
        <v>366</v>
      </c>
      <c r="C228" s="9">
        <f>+payroll!G228</f>
        <v>3.0088218264237346E-5</v>
      </c>
      <c r="D228" s="9">
        <f>+IFR!T228</f>
        <v>4.6800904017273982E-5</v>
      </c>
      <c r="E228" s="9">
        <f>+claims!R228</f>
        <v>0</v>
      </c>
      <c r="F228" s="9">
        <f>+costs!L228</f>
        <v>1.1818711697652296E-3</v>
      </c>
      <c r="H228" s="28">
        <f t="shared" si="19"/>
        <v>7.1873384214432665E-4</v>
      </c>
      <c r="J228" s="2">
        <f t="shared" si="22"/>
        <v>37611.522526915782</v>
      </c>
      <c r="L228" s="7">
        <f>+J228/payroll!F228</f>
        <v>0.10344414451183331</v>
      </c>
      <c r="O228" s="2">
        <v>43143.745757710501</v>
      </c>
      <c r="P228" s="17">
        <f t="shared" si="20"/>
        <v>-5532.2232307947197</v>
      </c>
      <c r="R228" s="28">
        <v>7.1873430312798697E-4</v>
      </c>
      <c r="S228" s="9">
        <f t="shared" si="21"/>
        <v>-4.6098366031539773E-10</v>
      </c>
      <c r="U228" s="25"/>
      <c r="X228" s="2"/>
    </row>
    <row r="229" spans="1:24" outlineLevel="1">
      <c r="A229" s="1" t="s">
        <v>367</v>
      </c>
      <c r="B229" s="1" t="s">
        <v>368</v>
      </c>
      <c r="C229" s="9">
        <f>+payroll!G229</f>
        <v>1.9809879263356452E-5</v>
      </c>
      <c r="D229" s="9">
        <f>+IFR!T229</f>
        <v>3.3035932247487517E-5</v>
      </c>
      <c r="E229" s="9">
        <f>+claims!R229</f>
        <v>0</v>
      </c>
      <c r="F229" s="9">
        <f>+costs!L229</f>
        <v>0</v>
      </c>
      <c r="H229" s="28">
        <f t="shared" si="19"/>
        <v>6.6057264388554962E-6</v>
      </c>
      <c r="J229" s="2">
        <f t="shared" si="22"/>
        <v>345.67932410196136</v>
      </c>
      <c r="L229" s="7">
        <f>+J229/payroll!F229</f>
        <v>1.4440194553204666E-3</v>
      </c>
      <c r="O229" s="2">
        <v>396.54259771128858</v>
      </c>
      <c r="P229" s="17">
        <f t="shared" si="20"/>
        <v>-50.863273609327223</v>
      </c>
      <c r="R229" s="28">
        <v>6.6060274234684151E-6</v>
      </c>
      <c r="S229" s="9">
        <f t="shared" si="21"/>
        <v>-3.0098461291896197E-10</v>
      </c>
      <c r="U229" s="25"/>
      <c r="X229" s="2"/>
    </row>
    <row r="230" spans="1:24" outlineLevel="1">
      <c r="A230" s="1" t="s">
        <v>369</v>
      </c>
      <c r="B230" s="1" t="s">
        <v>370</v>
      </c>
      <c r="C230" s="9">
        <f>+payroll!G230</f>
        <v>1.2882424647469147E-4</v>
      </c>
      <c r="D230" s="9">
        <f>+IFR!T230</f>
        <v>1.6334433166813274E-4</v>
      </c>
      <c r="E230" s="9">
        <f>+claims!R230</f>
        <v>0</v>
      </c>
      <c r="F230" s="9">
        <f>+costs!L230</f>
        <v>0</v>
      </c>
      <c r="H230" s="28">
        <f t="shared" si="19"/>
        <v>3.6521072267853023E-5</v>
      </c>
      <c r="J230" s="2">
        <f t="shared" si="22"/>
        <v>1911.1568869657347</v>
      </c>
      <c r="L230" s="7">
        <f>+J230/payroll!F230</f>
        <v>1.2276659142144623E-3</v>
      </c>
      <c r="O230" s="2">
        <v>2192.3857235009564</v>
      </c>
      <c r="P230" s="17">
        <f t="shared" si="20"/>
        <v>-281.22883653522172</v>
      </c>
      <c r="R230" s="28">
        <v>3.6523088051217626E-5</v>
      </c>
      <c r="S230" s="9">
        <f t="shared" si="21"/>
        <v>-2.0157833646031252E-9</v>
      </c>
      <c r="U230" s="25"/>
      <c r="X230" s="2"/>
    </row>
    <row r="231" spans="1:24" outlineLevel="1">
      <c r="A231" s="1" t="s">
        <v>371</v>
      </c>
      <c r="B231" s="1" t="s">
        <v>372</v>
      </c>
      <c r="C231" s="9">
        <f>+payroll!G231</f>
        <v>6.4475931189409051E-5</v>
      </c>
      <c r="D231" s="9">
        <f>+IFR!T231</f>
        <v>8.9931148895938226E-5</v>
      </c>
      <c r="E231" s="9">
        <f>+claims!R231</f>
        <v>0</v>
      </c>
      <c r="F231" s="9">
        <f>+costs!L231</f>
        <v>0</v>
      </c>
      <c r="H231" s="28">
        <f t="shared" si="19"/>
        <v>1.930088501066841E-5</v>
      </c>
      <c r="J231" s="2">
        <f t="shared" si="22"/>
        <v>1010.0201615696192</v>
      </c>
      <c r="L231" s="7">
        <f>+J231/payroll!F231</f>
        <v>1.2963249771656628E-3</v>
      </c>
      <c r="O231" s="2">
        <v>1158.6417940492759</v>
      </c>
      <c r="P231" s="17">
        <f t="shared" si="20"/>
        <v>-148.62163247965668</v>
      </c>
      <c r="R231" s="28">
        <v>1.9301884613765591E-5</v>
      </c>
      <c r="S231" s="9">
        <f t="shared" si="21"/>
        <v>-9.9960309718179555E-10</v>
      </c>
      <c r="U231" s="25"/>
      <c r="X231" s="2"/>
    </row>
    <row r="232" spans="1:24" outlineLevel="1">
      <c r="A232" s="1" t="s">
        <v>373</v>
      </c>
      <c r="B232" s="1" t="s">
        <v>374</v>
      </c>
      <c r="C232" s="9">
        <f>+payroll!G232</f>
        <v>8.2336130621922301E-5</v>
      </c>
      <c r="D232" s="9">
        <f>+IFR!T232</f>
        <v>1.1929642200481604E-4</v>
      </c>
      <c r="E232" s="9">
        <f>+claims!R232</f>
        <v>1.1450749722771331E-4</v>
      </c>
      <c r="F232" s="9">
        <f>+costs!L232</f>
        <v>9.0271379416284595E-5</v>
      </c>
      <c r="H232" s="28">
        <f t="shared" si="19"/>
        <v>9.6543021312270051E-5</v>
      </c>
      <c r="J232" s="2">
        <f t="shared" si="22"/>
        <v>5052.1205597743365</v>
      </c>
      <c r="L232" s="7">
        <f>+J232/payroll!F232</f>
        <v>5.0776729077596904E-3</v>
      </c>
      <c r="O232" s="2">
        <v>5795.4263967923262</v>
      </c>
      <c r="P232" s="17">
        <f t="shared" si="20"/>
        <v>-743.30583701798969</v>
      </c>
      <c r="R232" s="28">
        <v>9.6546363313474053E-5</v>
      </c>
      <c r="S232" s="9">
        <f t="shared" si="21"/>
        <v>-3.3420012040017788E-9</v>
      </c>
      <c r="U232" s="25"/>
      <c r="X232" s="2"/>
    </row>
    <row r="233" spans="1:24" outlineLevel="1">
      <c r="A233" s="1" t="s">
        <v>375</v>
      </c>
      <c r="B233" s="1" t="s">
        <v>376</v>
      </c>
      <c r="C233" s="9">
        <f>+payroll!G233</f>
        <v>2.5607808109283782E-4</v>
      </c>
      <c r="D233" s="9">
        <f>+IFR!T233</f>
        <v>3.0191171415064983E-4</v>
      </c>
      <c r="E233" s="9">
        <f>+claims!R233</f>
        <v>1.1450749722771331E-4</v>
      </c>
      <c r="F233" s="9">
        <f>+costs!L233</f>
        <v>3.4749864355052426E-5</v>
      </c>
      <c r="H233" s="28">
        <f t="shared" si="19"/>
        <v>1.0777476760262441E-4</v>
      </c>
      <c r="J233" s="2">
        <f t="shared" si="22"/>
        <v>5639.8806649002008</v>
      </c>
      <c r="L233" s="7">
        <f>+J233/payroll!F233</f>
        <v>1.8225480082350992E-3</v>
      </c>
      <c r="O233" s="2">
        <v>6469.8045955313783</v>
      </c>
      <c r="P233" s="17">
        <f t="shared" si="20"/>
        <v>-829.92393063117743</v>
      </c>
      <c r="R233" s="28">
        <v>1.0778087103186789E-4</v>
      </c>
      <c r="S233" s="9">
        <f t="shared" si="21"/>
        <v>-6.1034292434816121E-9</v>
      </c>
      <c r="U233" s="25"/>
      <c r="X233" s="2"/>
    </row>
    <row r="234" spans="1:24" outlineLevel="1">
      <c r="A234" s="11" t="s">
        <v>547</v>
      </c>
      <c r="B234" s="11" t="s">
        <v>548</v>
      </c>
      <c r="C234" s="9">
        <f>+payroll!G234</f>
        <v>8.8197642029507506E-6</v>
      </c>
      <c r="D234" s="9">
        <f>+IFR!T234</f>
        <v>1.1011977415829171E-5</v>
      </c>
      <c r="E234" s="9">
        <f>+claims!R234</f>
        <v>0</v>
      </c>
      <c r="F234" s="9">
        <f>+costs!L234</f>
        <v>0</v>
      </c>
      <c r="H234" s="28">
        <f t="shared" si="19"/>
        <v>2.4789677023474904E-6</v>
      </c>
      <c r="J234" s="2">
        <f t="shared" si="22"/>
        <v>129.72500265490004</v>
      </c>
      <c r="L234" s="7">
        <f>+J234/payroll!F234</f>
        <v>1.2171614331166645E-3</v>
      </c>
      <c r="O234" s="2">
        <v>148.81426193167252</v>
      </c>
      <c r="P234" s="17">
        <f t="shared" si="20"/>
        <v>-19.089259276772481</v>
      </c>
      <c r="Q234" s="29"/>
      <c r="R234" s="28">
        <v>2.4791059043789964E-6</v>
      </c>
      <c r="S234" s="9">
        <f t="shared" si="21"/>
        <v>-1.3820203150590913E-10</v>
      </c>
      <c r="U234" s="25"/>
      <c r="X234" s="2"/>
    </row>
    <row r="235" spans="1:24" outlineLevel="1">
      <c r="A235" s="1" t="s">
        <v>377</v>
      </c>
      <c r="B235" s="1" t="s">
        <v>378</v>
      </c>
      <c r="C235" s="9">
        <f>+payroll!G235</f>
        <v>3.8314376244308183E-5</v>
      </c>
      <c r="D235" s="9">
        <f>+IFR!T235</f>
        <v>4.5883239232621554E-5</v>
      </c>
      <c r="E235" s="9">
        <f>+claims!R235</f>
        <v>0</v>
      </c>
      <c r="F235" s="9">
        <f>+costs!L235</f>
        <v>0</v>
      </c>
      <c r="H235" s="28">
        <f t="shared" si="19"/>
        <v>1.0524701934616217E-5</v>
      </c>
      <c r="J235" s="2">
        <f t="shared" si="22"/>
        <v>550.76029635933367</v>
      </c>
      <c r="L235" s="7">
        <f>+J235/payroll!F235</f>
        <v>1.1895489947212016E-3</v>
      </c>
      <c r="O235" s="2">
        <v>631.80658060521057</v>
      </c>
      <c r="P235" s="17">
        <f t="shared" si="20"/>
        <v>-81.046284245876905</v>
      </c>
      <c r="R235" s="28">
        <v>1.0525304524394638E-5</v>
      </c>
      <c r="S235" s="9">
        <f t="shared" si="21"/>
        <v>-6.0258977842117436E-10</v>
      </c>
      <c r="U235" s="25"/>
      <c r="X235" s="2"/>
    </row>
    <row r="236" spans="1:24" outlineLevel="1">
      <c r="A236" s="1" t="s">
        <v>379</v>
      </c>
      <c r="B236" s="1" t="s">
        <v>380</v>
      </c>
      <c r="C236" s="9">
        <f>+payroll!G236</f>
        <v>1.0950686359072351E-4</v>
      </c>
      <c r="D236" s="9">
        <f>+IFR!T236</f>
        <v>1.2893190224366657E-4</v>
      </c>
      <c r="E236" s="9">
        <f>+claims!R236</f>
        <v>0</v>
      </c>
      <c r="F236" s="9">
        <f>+costs!L236</f>
        <v>0</v>
      </c>
      <c r="H236" s="28">
        <f t="shared" si="19"/>
        <v>2.9804845729298762E-5</v>
      </c>
      <c r="J236" s="2">
        <f t="shared" si="22"/>
        <v>1559.6950648855968</v>
      </c>
      <c r="L236" s="7">
        <f>+J236/payroll!F236</f>
        <v>1.1786363382173281E-3</v>
      </c>
      <c r="O236" s="2">
        <v>1789.2106919816192</v>
      </c>
      <c r="P236" s="17">
        <f t="shared" si="20"/>
        <v>-229.5156270960224</v>
      </c>
      <c r="R236" s="28">
        <v>2.9806570506704994E-5</v>
      </c>
      <c r="S236" s="9">
        <f t="shared" ref="S236:S261" si="23">+H236-R236</f>
        <v>-1.7247774062318223E-9</v>
      </c>
      <c r="U236" s="25"/>
      <c r="X236" s="2"/>
    </row>
    <row r="237" spans="1:24" outlineLevel="1">
      <c r="A237" s="1" t="s">
        <v>381</v>
      </c>
      <c r="B237" s="1" t="s">
        <v>382</v>
      </c>
      <c r="C237" s="9">
        <f>+payroll!G237</f>
        <v>2.0721999974640686E-5</v>
      </c>
      <c r="D237" s="9">
        <f>+IFR!T237</f>
        <v>2.4776949185615636E-5</v>
      </c>
      <c r="E237" s="9">
        <f>+claims!R237</f>
        <v>0</v>
      </c>
      <c r="F237" s="9">
        <f>+costs!L237</f>
        <v>0</v>
      </c>
      <c r="H237" s="28">
        <f t="shared" si="19"/>
        <v>5.6873686450320403E-6</v>
      </c>
      <c r="J237" s="2">
        <f t="shared" si="22"/>
        <v>297.62143003215141</v>
      </c>
      <c r="L237" s="7">
        <f>+J237/payroll!F237</f>
        <v>1.1885405388355403E-3</v>
      </c>
      <c r="O237" s="2">
        <v>341.41747299174654</v>
      </c>
      <c r="P237" s="17">
        <f t="shared" si="20"/>
        <v>-43.796042959595127</v>
      </c>
      <c r="R237" s="28">
        <v>5.6876945943569654E-6</v>
      </c>
      <c r="S237" s="9">
        <f t="shared" si="23"/>
        <v>-3.2594932492504078E-10</v>
      </c>
      <c r="U237" s="25"/>
      <c r="X237" s="2"/>
    </row>
    <row r="238" spans="1:24" outlineLevel="1">
      <c r="A238" s="1" t="s">
        <v>383</v>
      </c>
      <c r="B238" s="1" t="s">
        <v>384</v>
      </c>
      <c r="C238" s="9">
        <f>+payroll!G238</f>
        <v>2.6494492116174099E-4</v>
      </c>
      <c r="D238" s="9">
        <f>+IFR!T238</f>
        <v>3.4641845620629272E-4</v>
      </c>
      <c r="E238" s="9">
        <f>+claims!R238</f>
        <v>2.2901499445542663E-4</v>
      </c>
      <c r="F238" s="9">
        <f>+costs!L238</f>
        <v>6.8910463982090449E-5</v>
      </c>
      <c r="H238" s="28">
        <f t="shared" si="19"/>
        <v>1.5211894972857247E-4</v>
      </c>
      <c r="J238" s="2">
        <f t="shared" si="22"/>
        <v>7960.4228561399386</v>
      </c>
      <c r="L238" s="7">
        <f>+J238/payroll!F238</f>
        <v>2.4863485379165943E-3</v>
      </c>
      <c r="O238" s="2">
        <v>9131.8005502032702</v>
      </c>
      <c r="P238" s="17">
        <f t="shared" si="20"/>
        <v>-1171.3776940633315</v>
      </c>
      <c r="R238" s="28">
        <v>1.5212722468774373E-4</v>
      </c>
      <c r="S238" s="9">
        <f t="shared" si="23"/>
        <v>-8.2749591712530119E-9</v>
      </c>
      <c r="U238" s="25"/>
      <c r="X238" s="2"/>
    </row>
    <row r="239" spans="1:24" outlineLevel="1">
      <c r="A239" s="1" t="s">
        <v>385</v>
      </c>
      <c r="B239" s="1" t="s">
        <v>386</v>
      </c>
      <c r="C239" s="9">
        <f>+payroll!G239</f>
        <v>3.5974219052425712E-5</v>
      </c>
      <c r="D239" s="9">
        <f>+IFR!T239</f>
        <v>5.3683389902167215E-5</v>
      </c>
      <c r="E239" s="9">
        <f>+claims!R239</f>
        <v>0</v>
      </c>
      <c r="F239" s="9">
        <f>+costs!L239</f>
        <v>0</v>
      </c>
      <c r="H239" s="28">
        <f t="shared" si="19"/>
        <v>1.1207201119324116E-5</v>
      </c>
      <c r="J239" s="2">
        <f t="shared" si="22"/>
        <v>586.47565015936823</v>
      </c>
      <c r="L239" s="7">
        <f>+J239/payroll!F239</f>
        <v>1.3490873796224354E-3</v>
      </c>
      <c r="O239" s="2">
        <v>672.77229465801736</v>
      </c>
      <c r="P239" s="17">
        <f t="shared" si="20"/>
        <v>-86.29664449864913</v>
      </c>
      <c r="R239" s="28">
        <v>1.1207754863946402E-5</v>
      </c>
      <c r="S239" s="9">
        <f t="shared" si="23"/>
        <v>-5.5374462228584796E-10</v>
      </c>
      <c r="U239" s="25"/>
      <c r="X239" s="2"/>
    </row>
    <row r="240" spans="1:24" outlineLevel="1">
      <c r="A240" s="1" t="s">
        <v>387</v>
      </c>
      <c r="B240" s="1" t="s">
        <v>388</v>
      </c>
      <c r="C240" s="9">
        <f>+payroll!G240</f>
        <v>2.0745101236118487E-4</v>
      </c>
      <c r="D240" s="9">
        <f>+IFR!T240</f>
        <v>3.436654618523354E-4</v>
      </c>
      <c r="E240" s="9">
        <f>+claims!R240</f>
        <v>0</v>
      </c>
      <c r="F240" s="9">
        <f>+costs!L240</f>
        <v>0</v>
      </c>
      <c r="H240" s="28">
        <f t="shared" si="19"/>
        <v>6.8889559276690034E-5</v>
      </c>
      <c r="J240" s="2">
        <f t="shared" ref="J240:J262" si="24">(+H240*$J$272)</f>
        <v>3605.007944073167</v>
      </c>
      <c r="L240" s="7">
        <f>+J240/payroll!F240</f>
        <v>1.4380438747029775E-3</v>
      </c>
      <c r="O240" s="2">
        <v>4135.449938291199</v>
      </c>
      <c r="P240" s="17">
        <f t="shared" si="20"/>
        <v>-530.44199421803205</v>
      </c>
      <c r="R240" s="28">
        <v>6.8892713817904976E-5</v>
      </c>
      <c r="S240" s="9">
        <f t="shared" si="23"/>
        <v>-3.1545412149417904E-9</v>
      </c>
      <c r="U240" s="25"/>
      <c r="X240" s="2"/>
    </row>
    <row r="241" spans="1:24" outlineLevel="1">
      <c r="A241" s="1" t="s">
        <v>389</v>
      </c>
      <c r="B241" s="1" t="s">
        <v>390</v>
      </c>
      <c r="C241" s="9">
        <f>+payroll!G241</f>
        <v>7.3822544844449382E-5</v>
      </c>
      <c r="D241" s="9">
        <f>+IFR!T241</f>
        <v>1.0048429391944119E-4</v>
      </c>
      <c r="E241" s="9">
        <f>+claims!R241</f>
        <v>1.1450749722771331E-4</v>
      </c>
      <c r="F241" s="9">
        <f>+costs!L241</f>
        <v>2.134176732242613E-5</v>
      </c>
      <c r="H241" s="28">
        <f t="shared" si="19"/>
        <v>5.1769539823098994E-5</v>
      </c>
      <c r="J241" s="2">
        <f t="shared" si="24"/>
        <v>2709.1130250042602</v>
      </c>
      <c r="L241" s="7">
        <f>+J241/payroll!F241</f>
        <v>3.0368237064786218E-3</v>
      </c>
      <c r="O241" s="2">
        <v>3107.7836220949439</v>
      </c>
      <c r="P241" s="17">
        <f t="shared" si="20"/>
        <v>-398.67059709068371</v>
      </c>
      <c r="R241" s="28">
        <v>5.1772757711928315E-5</v>
      </c>
      <c r="S241" s="9">
        <f t="shared" si="23"/>
        <v>-3.2178888293205488E-9</v>
      </c>
      <c r="U241" s="25"/>
      <c r="X241" s="2"/>
    </row>
    <row r="242" spans="1:24" outlineLevel="1">
      <c r="A242" s="1" t="s">
        <v>391</v>
      </c>
      <c r="B242" s="1" t="s">
        <v>392</v>
      </c>
      <c r="C242" s="9">
        <f>+payroll!G242</f>
        <v>1.5372626898269921E-3</v>
      </c>
      <c r="D242" s="9">
        <f>+IFR!T242</f>
        <v>1.907366254900078E-3</v>
      </c>
      <c r="E242" s="9">
        <f>+claims!R242</f>
        <v>5.725374861385666E-4</v>
      </c>
      <c r="F242" s="9">
        <f>+costs!L242</f>
        <v>1.3899025159724431E-4</v>
      </c>
      <c r="H242" s="28">
        <f t="shared" si="19"/>
        <v>5.9985339197001538E-4</v>
      </c>
      <c r="J242" s="2">
        <f t="shared" si="24"/>
        <v>31390.478702958571</v>
      </c>
      <c r="L242" s="7">
        <f>+J242/payroll!F242</f>
        <v>1.6897844956011794E-3</v>
      </c>
      <c r="O242" s="2">
        <v>36009.702927303093</v>
      </c>
      <c r="P242" s="17">
        <f t="shared" si="20"/>
        <v>-4619.2242243445216</v>
      </c>
      <c r="R242" s="28">
        <v>5.9988784665679113E-4</v>
      </c>
      <c r="S242" s="9">
        <f t="shared" si="23"/>
        <v>-3.4454686775745383E-8</v>
      </c>
      <c r="U242" s="25"/>
      <c r="X242" s="2"/>
    </row>
    <row r="243" spans="1:24" outlineLevel="1">
      <c r="A243" s="1" t="s">
        <v>393</v>
      </c>
      <c r="B243" s="1" t="s">
        <v>394</v>
      </c>
      <c r="C243" s="9">
        <f>+payroll!G243</f>
        <v>3.7031987976055778E-4</v>
      </c>
      <c r="D243" s="9">
        <f>+IFR!T243</f>
        <v>4.9278598935835547E-4</v>
      </c>
      <c r="E243" s="9">
        <f>+claims!R243</f>
        <v>2.2901499445542663E-4</v>
      </c>
      <c r="F243" s="9">
        <f>+costs!L243</f>
        <v>2.099249839911936E-5</v>
      </c>
      <c r="H243" s="28">
        <f t="shared" si="19"/>
        <v>1.5483598184764976E-4</v>
      </c>
      <c r="J243" s="2">
        <f t="shared" si="24"/>
        <v>8102.6058295312323</v>
      </c>
      <c r="L243" s="7">
        <f>+J243/payroll!F243</f>
        <v>1.8106276759281494E-3</v>
      </c>
      <c r="O243" s="2">
        <v>9294.9950094890228</v>
      </c>
      <c r="P243" s="17">
        <f t="shared" si="20"/>
        <v>-1192.3891799577905</v>
      </c>
      <c r="R243" s="28">
        <v>1.5484589118063005E-4</v>
      </c>
      <c r="S243" s="9">
        <f t="shared" si="23"/>
        <v>-9.9093329802857084E-9</v>
      </c>
      <c r="U243" s="25"/>
      <c r="X243" s="2"/>
    </row>
    <row r="244" spans="1:24" outlineLevel="1">
      <c r="A244" s="1" t="s">
        <v>395</v>
      </c>
      <c r="B244" s="1" t="s">
        <v>396</v>
      </c>
      <c r="C244" s="9">
        <f>+payroll!G244</f>
        <v>7.9756381994671192E-5</v>
      </c>
      <c r="D244" s="9">
        <f>+IFR!T244</f>
        <v>1.4453220358275789E-4</v>
      </c>
      <c r="E244" s="9">
        <f>+claims!R244</f>
        <v>1.1450749722771331E-4</v>
      </c>
      <c r="F244" s="9">
        <f>+costs!L244</f>
        <v>6.125361278885978E-5</v>
      </c>
      <c r="H244" s="28">
        <f t="shared" si="19"/>
        <v>8.1964365454651502E-5</v>
      </c>
      <c r="J244" s="2">
        <f t="shared" si="24"/>
        <v>4289.2158361494467</v>
      </c>
      <c r="L244" s="7">
        <f>+J244/payroll!F244</f>
        <v>4.4503475140121838E-3</v>
      </c>
      <c r="O244" s="2">
        <v>4920.3033404578082</v>
      </c>
      <c r="P244" s="17">
        <f t="shared" si="20"/>
        <v>-631.08750430836153</v>
      </c>
      <c r="R244" s="28">
        <v>8.1967634716794094E-5</v>
      </c>
      <c r="S244" s="9">
        <f t="shared" si="23"/>
        <v>-3.2692621425913513E-9</v>
      </c>
      <c r="U244" s="25"/>
      <c r="X244" s="2"/>
    </row>
    <row r="245" spans="1:24" outlineLevel="1">
      <c r="A245" s="1" t="s">
        <v>397</v>
      </c>
      <c r="B245" s="1" t="s">
        <v>398</v>
      </c>
      <c r="C245" s="9">
        <f>+payroll!G245</f>
        <v>4.9023829288143052E-4</v>
      </c>
      <c r="D245" s="9">
        <f>+IFR!T245</f>
        <v>7.9010937958574304E-4</v>
      </c>
      <c r="E245" s="9">
        <f>+claims!R245</f>
        <v>5.1528373752470988E-4</v>
      </c>
      <c r="F245" s="9">
        <f>+costs!L245</f>
        <v>3.0688190821963096E-4</v>
      </c>
      <c r="H245" s="28">
        <f t="shared" si="19"/>
        <v>4.2146516461888178E-4</v>
      </c>
      <c r="J245" s="2">
        <f t="shared" si="24"/>
        <v>22055.377949199392</v>
      </c>
      <c r="L245" s="7">
        <f>+J245/payroll!F245</f>
        <v>3.7229631889269766E-3</v>
      </c>
      <c r="O245" s="2">
        <v>25300.462942560545</v>
      </c>
      <c r="P245" s="17">
        <f t="shared" si="20"/>
        <v>-3245.0849933611535</v>
      </c>
      <c r="R245" s="28">
        <v>4.214819618110436E-4</v>
      </c>
      <c r="S245" s="9">
        <f t="shared" si="23"/>
        <v>-1.6797192161819262E-8</v>
      </c>
      <c r="U245" s="25"/>
      <c r="X245" s="2"/>
    </row>
    <row r="246" spans="1:24" outlineLevel="1">
      <c r="A246" s="1" t="s">
        <v>399</v>
      </c>
      <c r="B246" s="1" t="s">
        <v>400</v>
      </c>
      <c r="C246" s="9">
        <f>+payroll!G246</f>
        <v>8.0925125433129277E-4</v>
      </c>
      <c r="D246" s="9">
        <f>+IFR!T246</f>
        <v>9.4152406905339419E-4</v>
      </c>
      <c r="E246" s="9">
        <f>+claims!R246</f>
        <v>1.1450749722771331E-4</v>
      </c>
      <c r="F246" s="9">
        <f>+costs!L246</f>
        <v>1.4892351869335578E-5</v>
      </c>
      <c r="H246" s="28">
        <f t="shared" si="19"/>
        <v>2.4495845112884422E-4</v>
      </c>
      <c r="J246" s="2">
        <f t="shared" si="24"/>
        <v>12818.737288484097</v>
      </c>
      <c r="L246" s="7">
        <f>+J246/payroll!F246</f>
        <v>1.3108208323795746E-3</v>
      </c>
      <c r="O246" s="2">
        <v>14705.107139918025</v>
      </c>
      <c r="P246" s="17">
        <f t="shared" si="20"/>
        <v>-1886.3698514339285</v>
      </c>
      <c r="R246" s="28">
        <v>2.4497328053029566E-4</v>
      </c>
      <c r="S246" s="9">
        <f t="shared" si="23"/>
        <v>-1.4829401451439423E-8</v>
      </c>
      <c r="U246" s="25"/>
      <c r="X246" s="2"/>
    </row>
    <row r="247" spans="1:24" outlineLevel="1">
      <c r="A247" s="1" t="s">
        <v>401</v>
      </c>
      <c r="B247" s="1" t="s">
        <v>402</v>
      </c>
      <c r="C247" s="9">
        <f>+payroll!G247</f>
        <v>4.8748430472687337E-5</v>
      </c>
      <c r="D247" s="9">
        <f>+IFR!T247</f>
        <v>5.781288143310315E-5</v>
      </c>
      <c r="E247" s="9">
        <f>+claims!R247</f>
        <v>0</v>
      </c>
      <c r="F247" s="9">
        <f>+costs!L247</f>
        <v>0</v>
      </c>
      <c r="H247" s="28">
        <f t="shared" si="19"/>
        <v>1.3320163988223811E-5</v>
      </c>
      <c r="J247" s="2">
        <f t="shared" si="24"/>
        <v>697.04752792855083</v>
      </c>
      <c r="L247" s="7">
        <f>+J247/payroll!F247</f>
        <v>1.1832682809051753E-3</v>
      </c>
      <c r="O247" s="2">
        <v>799.62076627227191</v>
      </c>
      <c r="P247" s="17">
        <f t="shared" si="20"/>
        <v>-102.57323834372107</v>
      </c>
      <c r="R247" s="28">
        <v>1.3320931322024984E-5</v>
      </c>
      <c r="S247" s="9">
        <f t="shared" si="23"/>
        <v>-7.6733380117292892E-10</v>
      </c>
      <c r="U247" s="25"/>
      <c r="X247" s="2"/>
    </row>
    <row r="248" spans="1:24" outlineLevel="1">
      <c r="A248" s="1" t="s">
        <v>403</v>
      </c>
      <c r="B248" s="1" t="s">
        <v>404</v>
      </c>
      <c r="C248" s="9">
        <f>+payroll!G248</f>
        <v>1.9211758529409743E-4</v>
      </c>
      <c r="D248" s="9">
        <f>+IFR!T248</f>
        <v>3.2622983094393924E-4</v>
      </c>
      <c r="E248" s="9">
        <f>+claims!R248</f>
        <v>0</v>
      </c>
      <c r="F248" s="9">
        <f>+costs!L248</f>
        <v>1.4586626488655086E-6</v>
      </c>
      <c r="H248" s="28">
        <f t="shared" si="19"/>
        <v>6.566862461907388E-5</v>
      </c>
      <c r="J248" s="2">
        <f t="shared" si="24"/>
        <v>3436.4556242446993</v>
      </c>
      <c r="L248" s="7">
        <f>+J248/payroll!F248</f>
        <v>1.4802159845476318E-3</v>
      </c>
      <c r="O248" s="2">
        <v>3942.0910918064346</v>
      </c>
      <c r="P248" s="17">
        <f t="shared" si="20"/>
        <v>-505.63546756173537</v>
      </c>
      <c r="R248" s="28">
        <v>6.5671536951104499E-5</v>
      </c>
      <c r="S248" s="9">
        <f t="shared" si="23"/>
        <v>-2.9123320306192416E-9</v>
      </c>
      <c r="U248" s="25"/>
      <c r="X248" s="2"/>
    </row>
    <row r="249" spans="1:24" outlineLevel="1">
      <c r="A249" s="1" t="s">
        <v>405</v>
      </c>
      <c r="B249" s="1" t="s">
        <v>406</v>
      </c>
      <c r="C249" s="9">
        <f>+payroll!G249</f>
        <v>5.5428140084259648E-5</v>
      </c>
      <c r="D249" s="9">
        <f>+IFR!T249</f>
        <v>7.8919171480109065E-5</v>
      </c>
      <c r="E249" s="9">
        <f>+claims!R249</f>
        <v>0</v>
      </c>
      <c r="F249" s="9">
        <f>+costs!L249</f>
        <v>0</v>
      </c>
      <c r="H249" s="28">
        <f t="shared" si="19"/>
        <v>1.6793413945546087E-5</v>
      </c>
      <c r="J249" s="2">
        <f t="shared" si="24"/>
        <v>878.80357077981239</v>
      </c>
      <c r="L249" s="7">
        <f>+J249/payroll!F249</f>
        <v>1.3120276151027646E-3</v>
      </c>
      <c r="O249" s="2">
        <v>1008.1163156964478</v>
      </c>
      <c r="P249" s="17">
        <f t="shared" si="20"/>
        <v>-129.31274491663544</v>
      </c>
      <c r="R249" s="28">
        <v>1.6794271450214725E-5</v>
      </c>
      <c r="S249" s="9">
        <f t="shared" si="23"/>
        <v>-8.5750466863792956E-10</v>
      </c>
      <c r="U249" s="25"/>
      <c r="X249" s="2"/>
    </row>
    <row r="250" spans="1:24" outlineLevel="1">
      <c r="A250" s="1" t="s">
        <v>407</v>
      </c>
      <c r="B250" s="1" t="s">
        <v>408</v>
      </c>
      <c r="C250" s="9">
        <f>+payroll!G250</f>
        <v>4.7978193587108245E-5</v>
      </c>
      <c r="D250" s="9">
        <f>+IFR!T250</f>
        <v>7.0660188418237194E-5</v>
      </c>
      <c r="E250" s="9">
        <f>+claims!R250</f>
        <v>0</v>
      </c>
      <c r="F250" s="9">
        <f>+costs!L250</f>
        <v>0</v>
      </c>
      <c r="H250" s="28">
        <f t="shared" si="19"/>
        <v>1.4829797750668181E-5</v>
      </c>
      <c r="J250" s="2">
        <f t="shared" si="24"/>
        <v>776.0470419825549</v>
      </c>
      <c r="L250" s="7">
        <f>+J250/payroll!F250</f>
        <v>1.3385223414483813E-3</v>
      </c>
      <c r="O250" s="2">
        <v>890.23847810000632</v>
      </c>
      <c r="P250" s="17">
        <f t="shared" si="20"/>
        <v>-114.19143611745142</v>
      </c>
      <c r="R250" s="28">
        <v>1.4830537333689366E-5</v>
      </c>
      <c r="S250" s="9">
        <f t="shared" si="23"/>
        <v>-7.3958302118510275E-10</v>
      </c>
      <c r="U250" s="25"/>
      <c r="X250" s="2"/>
    </row>
    <row r="251" spans="1:24" outlineLevel="1">
      <c r="A251" s="1" t="s">
        <v>409</v>
      </c>
      <c r="B251" s="1" t="s">
        <v>410</v>
      </c>
      <c r="C251" s="9">
        <f>+payroll!G251</f>
        <v>2.1329479472112091E-4</v>
      </c>
      <c r="D251" s="9">
        <f>+IFR!T251</f>
        <v>2.3767517922497963E-4</v>
      </c>
      <c r="E251" s="9">
        <f>+claims!R251</f>
        <v>1.1450749722771331E-4</v>
      </c>
      <c r="F251" s="9">
        <f>+costs!L251</f>
        <v>1.848630515502251E-5</v>
      </c>
      <c r="H251" s="28">
        <f t="shared" si="19"/>
        <v>8.4639154420433066E-5</v>
      </c>
      <c r="J251" s="2">
        <f t="shared" si="24"/>
        <v>4429.1882147160277</v>
      </c>
      <c r="L251" s="7">
        <f>+J251/payroll!F251</f>
        <v>1.7184042878483515E-3</v>
      </c>
      <c r="O251" s="2">
        <v>5080.9945692547208</v>
      </c>
      <c r="P251" s="17">
        <f t="shared" si="20"/>
        <v>-651.80635453869309</v>
      </c>
      <c r="R251" s="28">
        <v>8.4644599739644203E-5</v>
      </c>
      <c r="S251" s="9">
        <f t="shared" si="23"/>
        <v>-5.4453192111370962E-9</v>
      </c>
      <c r="U251" s="25"/>
      <c r="X251" s="2"/>
    </row>
    <row r="252" spans="1:24" outlineLevel="1">
      <c r="A252" s="1" t="s">
        <v>411</v>
      </c>
      <c r="B252" s="1" t="s">
        <v>412</v>
      </c>
      <c r="C252" s="9">
        <f>+payroll!G252</f>
        <v>1.030238052459715E-4</v>
      </c>
      <c r="D252" s="9">
        <f>+IFR!T252</f>
        <v>1.3122606420529762E-4</v>
      </c>
      <c r="E252" s="9">
        <f>+claims!R252</f>
        <v>5.7253748613856657E-5</v>
      </c>
      <c r="F252" s="9">
        <f>+costs!L252</f>
        <v>1.6570481337695902E-6</v>
      </c>
      <c r="H252" s="28">
        <f t="shared" si="19"/>
        <v>3.8863524853748892E-5</v>
      </c>
      <c r="J252" s="2">
        <f t="shared" si="24"/>
        <v>2033.7380192800288</v>
      </c>
      <c r="L252" s="7">
        <f>+J252/payroll!F252</f>
        <v>1.633574290476596E-3</v>
      </c>
      <c r="O252" s="2">
        <v>2333.0349137949884</v>
      </c>
      <c r="P252" s="17">
        <f t="shared" si="20"/>
        <v>-299.2968945149596</v>
      </c>
      <c r="R252" s="28">
        <v>3.8866171527075309E-5</v>
      </c>
      <c r="S252" s="9">
        <f t="shared" si="23"/>
        <v>-2.6466733264168406E-9</v>
      </c>
      <c r="U252" s="25"/>
      <c r="X252" s="2"/>
    </row>
    <row r="253" spans="1:24" outlineLevel="1">
      <c r="A253" s="1" t="s">
        <v>413</v>
      </c>
      <c r="B253" s="1" t="s">
        <v>414</v>
      </c>
      <c r="C253" s="9">
        <f>+payroll!G253</f>
        <v>1.6656939967759656E-4</v>
      </c>
      <c r="D253" s="9">
        <f>+IFR!T253</f>
        <v>2.931938986964517E-4</v>
      </c>
      <c r="E253" s="9">
        <f>+claims!R253</f>
        <v>2.862687430692833E-4</v>
      </c>
      <c r="F253" s="9">
        <f>+costs!L253</f>
        <v>4.0572271205970489E-4</v>
      </c>
      <c r="H253" s="28">
        <f t="shared" si="19"/>
        <v>3.4384435099297145E-4</v>
      </c>
      <c r="J253" s="2">
        <f t="shared" si="24"/>
        <v>17993.461271478496</v>
      </c>
      <c r="L253" s="7">
        <f>+J253/payroll!F253</f>
        <v>8.9392475049000445E-3</v>
      </c>
      <c r="O253" s="2">
        <v>20640.541236363359</v>
      </c>
      <c r="P253" s="17">
        <f t="shared" si="20"/>
        <v>-2647.0799648848624</v>
      </c>
      <c r="R253" s="28">
        <v>3.4385204068774735E-4</v>
      </c>
      <c r="S253" s="9">
        <f t="shared" si="23"/>
        <v>-7.6896947759017009E-9</v>
      </c>
      <c r="U253" s="25"/>
      <c r="X253" s="2"/>
    </row>
    <row r="254" spans="1:24" outlineLevel="1">
      <c r="A254" s="1" t="s">
        <v>415</v>
      </c>
      <c r="B254" s="1" t="s">
        <v>416</v>
      </c>
      <c r="C254" s="9">
        <f>+payroll!G254</f>
        <v>7.9485929093200641E-6</v>
      </c>
      <c r="D254" s="9">
        <f>+IFR!T254</f>
        <v>1.1011977415829171E-5</v>
      </c>
      <c r="E254" s="9">
        <f>+claims!R254</f>
        <v>0</v>
      </c>
      <c r="F254" s="9">
        <f>+costs!L254</f>
        <v>0</v>
      </c>
      <c r="H254" s="28">
        <f t="shared" si="19"/>
        <v>2.3700712906436546E-6</v>
      </c>
      <c r="J254" s="2">
        <f t="shared" si="24"/>
        <v>124.02642607239281</v>
      </c>
      <c r="L254" s="7">
        <f>+J254/payroll!F254</f>
        <v>1.2912354576039807E-3</v>
      </c>
      <c r="O254" s="2">
        <v>142.27660076570459</v>
      </c>
      <c r="P254" s="17">
        <f t="shared" si="20"/>
        <v>-18.250174693311777</v>
      </c>
      <c r="R254" s="28">
        <v>2.3701946065840173E-6</v>
      </c>
      <c r="S254" s="9">
        <f t="shared" si="23"/>
        <v>-1.2331594036262239E-10</v>
      </c>
      <c r="U254" s="25"/>
      <c r="X254" s="2"/>
    </row>
    <row r="255" spans="1:24" outlineLevel="1">
      <c r="A255" s="1" t="s">
        <v>417</v>
      </c>
      <c r="B255" s="1" t="s">
        <v>418</v>
      </c>
      <c r="C255" s="9">
        <f>+payroll!G255</f>
        <v>9.0420670549945612E-5</v>
      </c>
      <c r="D255" s="9">
        <f>+IFR!T255</f>
        <v>1.2296708114342575E-4</v>
      </c>
      <c r="E255" s="9">
        <f>+claims!R255</f>
        <v>0</v>
      </c>
      <c r="F255" s="9">
        <f>+costs!L255</f>
        <v>0</v>
      </c>
      <c r="H255" s="28">
        <f t="shared" si="19"/>
        <v>2.667346896167142E-5</v>
      </c>
      <c r="J255" s="2">
        <f t="shared" si="24"/>
        <v>1395.8293319398729</v>
      </c>
      <c r="L255" s="7">
        <f>+J255/payroll!F255</f>
        <v>1.2774563397712118E-3</v>
      </c>
      <c r="O255" s="2">
        <v>1601.2231408667571</v>
      </c>
      <c r="P255" s="17">
        <f t="shared" si="20"/>
        <v>-205.39380892688428</v>
      </c>
      <c r="R255" s="28">
        <v>2.6674874378463038E-5</v>
      </c>
      <c r="S255" s="9">
        <f t="shared" si="23"/>
        <v>-1.4054167916182042E-9</v>
      </c>
      <c r="U255" s="25"/>
      <c r="X255" s="2"/>
    </row>
    <row r="256" spans="1:24" outlineLevel="1">
      <c r="A256" s="1" t="s">
        <v>419</v>
      </c>
      <c r="B256" s="1" t="s">
        <v>420</v>
      </c>
      <c r="C256" s="9">
        <f>+payroll!G256</f>
        <v>2.2886572772099421E-5</v>
      </c>
      <c r="D256" s="9">
        <f>+IFR!T256</f>
        <v>2.2941619616310777E-5</v>
      </c>
      <c r="E256" s="9">
        <f>+claims!R256</f>
        <v>0</v>
      </c>
      <c r="F256" s="9">
        <f>+costs!L256</f>
        <v>0</v>
      </c>
      <c r="H256" s="28">
        <f t="shared" si="19"/>
        <v>5.7285240485512747E-6</v>
      </c>
      <c r="J256" s="2">
        <f t="shared" si="24"/>
        <v>299.77510263778493</v>
      </c>
      <c r="L256" s="7">
        <f>+J256/payroll!F256</f>
        <v>1.0839175964421682E-3</v>
      </c>
      <c r="O256" s="2">
        <v>343.89026987500665</v>
      </c>
      <c r="P256" s="17">
        <f t="shared" si="20"/>
        <v>-44.115167237221726</v>
      </c>
      <c r="R256" s="28">
        <v>5.7288890690937669E-6</v>
      </c>
      <c r="S256" s="9">
        <f t="shared" si="23"/>
        <v>-3.6502054249218721E-10</v>
      </c>
      <c r="U256" s="25"/>
      <c r="X256" s="2"/>
    </row>
    <row r="257" spans="1:24" outlineLevel="1">
      <c r="A257" s="1" t="s">
        <v>421</v>
      </c>
      <c r="B257" s="1" t="s">
        <v>422</v>
      </c>
      <c r="C257" s="9">
        <f>+payroll!G257</f>
        <v>3.2899014262344114E-4</v>
      </c>
      <c r="D257" s="9">
        <f>+IFR!T257</f>
        <v>4.5378523601062717E-4</v>
      </c>
      <c r="E257" s="9">
        <f>+claims!R257</f>
        <v>2.862687430692833E-4</v>
      </c>
      <c r="F257" s="9">
        <f>+costs!L257</f>
        <v>1.2274952283816857E-5</v>
      </c>
      <c r="H257" s="28">
        <f t="shared" si="19"/>
        <v>1.4815220515994115E-4</v>
      </c>
      <c r="J257" s="2">
        <f t="shared" si="24"/>
        <v>7752.8421162982231</v>
      </c>
      <c r="L257" s="7">
        <f>+J257/payroll!F257</f>
        <v>1.950111858611007E-3</v>
      </c>
      <c r="O257" s="2">
        <v>8893.8077374260447</v>
      </c>
      <c r="P257" s="17">
        <f t="shared" si="20"/>
        <v>-1140.9656211278216</v>
      </c>
      <c r="R257" s="28">
        <v>1.4816248784265098E-4</v>
      </c>
      <c r="S257" s="9">
        <f t="shared" si="23"/>
        <v>-1.0282682709835842E-8</v>
      </c>
      <c r="U257" s="25"/>
      <c r="X257" s="2"/>
    </row>
    <row r="258" spans="1:24" outlineLevel="1">
      <c r="A258" s="1" t="s">
        <v>423</v>
      </c>
      <c r="B258" s="1" t="s">
        <v>424</v>
      </c>
      <c r="C258" s="9">
        <f>+payroll!G258</f>
        <v>7.3218677303392204E-6</v>
      </c>
      <c r="D258" s="9">
        <f>+IFR!T258</f>
        <v>2.018862526235348E-5</v>
      </c>
      <c r="E258" s="9">
        <f>+claims!R258</f>
        <v>0</v>
      </c>
      <c r="F258" s="9">
        <f>+costs!L258</f>
        <v>0</v>
      </c>
      <c r="H258" s="28">
        <f t="shared" si="19"/>
        <v>3.4388116240865878E-6</v>
      </c>
      <c r="J258" s="2">
        <f t="shared" si="24"/>
        <v>179.95387622109547</v>
      </c>
      <c r="L258" s="7">
        <f>+J258/payroll!F258</f>
        <v>2.0338587854403802E-3</v>
      </c>
      <c r="O258" s="2">
        <v>206.42902732079699</v>
      </c>
      <c r="P258" s="17">
        <f t="shared" si="20"/>
        <v>-26.47515109970152</v>
      </c>
      <c r="R258" s="28">
        <v>3.4389138098952721E-6</v>
      </c>
      <c r="S258" s="9">
        <f t="shared" si="23"/>
        <v>-1.0218580868437025E-10</v>
      </c>
      <c r="U258" s="25"/>
      <c r="X258" s="2"/>
    </row>
    <row r="259" spans="1:24" outlineLevel="1">
      <c r="A259" s="1" t="s">
        <v>549</v>
      </c>
      <c r="B259" s="1" t="s">
        <v>550</v>
      </c>
      <c r="C259" s="9">
        <f>+payroll!G259</f>
        <v>1.0187903217781508E-4</v>
      </c>
      <c r="D259" s="9">
        <f>+IFR!T259</f>
        <v>9.1766478465243108E-5</v>
      </c>
      <c r="E259" s="9">
        <f>+claims!R259</f>
        <v>0</v>
      </c>
      <c r="F259" s="9">
        <f>+costs!L259</f>
        <v>0</v>
      </c>
      <c r="H259" s="28">
        <f t="shared" si="19"/>
        <v>2.4205688830382273E-5</v>
      </c>
      <c r="J259" s="2">
        <f t="shared" si="24"/>
        <v>1266.6897776891094</v>
      </c>
      <c r="L259" s="7">
        <f>+J259/payroll!F259</f>
        <v>1.0288852094521017E-3</v>
      </c>
      <c r="O259" s="2">
        <v>1453.1026154208857</v>
      </c>
      <c r="P259" s="17">
        <f t="shared" si="20"/>
        <v>-186.41283773177634</v>
      </c>
      <c r="R259" s="28">
        <v>2.4207325472692296E-5</v>
      </c>
      <c r="S259" s="9">
        <f t="shared" si="23"/>
        <v>-1.6366423100223719E-9</v>
      </c>
      <c r="U259" s="25"/>
      <c r="X259" s="2"/>
    </row>
    <row r="260" spans="1:24" outlineLevel="1">
      <c r="A260" s="1" t="s">
        <v>425</v>
      </c>
      <c r="B260" s="1" t="s">
        <v>426</v>
      </c>
      <c r="C260" s="9">
        <f>+payroll!G260</f>
        <v>3.2522713105456092E-5</v>
      </c>
      <c r="D260" s="9">
        <f>+IFR!T260</f>
        <v>4.4047909663316685E-5</v>
      </c>
      <c r="E260" s="9">
        <f>+claims!R260</f>
        <v>0</v>
      </c>
      <c r="F260" s="9">
        <f>+costs!L260</f>
        <v>0</v>
      </c>
      <c r="H260" s="28">
        <f t="shared" si="19"/>
        <v>9.5713278460965979E-6</v>
      </c>
      <c r="J260" s="2">
        <f t="shared" si="24"/>
        <v>500.86999079092976</v>
      </c>
      <c r="L260" s="7">
        <f>+J260/payroll!F260</f>
        <v>1.274440936363004E-3</v>
      </c>
      <c r="O260" s="2">
        <v>574.57220498589675</v>
      </c>
      <c r="P260" s="17">
        <f t="shared" si="20"/>
        <v>-73.702214194966984</v>
      </c>
      <c r="R260" s="28">
        <v>9.5718335553524752E-6</v>
      </c>
      <c r="S260" s="9">
        <f t="shared" si="23"/>
        <v>-5.0570925587731892E-10</v>
      </c>
      <c r="U260" s="25"/>
      <c r="X260" s="2"/>
    </row>
    <row r="261" spans="1:24" outlineLevel="1">
      <c r="A261" s="1" t="s">
        <v>427</v>
      </c>
      <c r="B261" s="1" t="s">
        <v>428</v>
      </c>
      <c r="C261" s="9">
        <f>+payroll!G261</f>
        <v>2.995097809877024E-5</v>
      </c>
      <c r="D261" s="9">
        <f>+IFR!T261</f>
        <v>3.8541920955402104E-5</v>
      </c>
      <c r="E261" s="9">
        <f>+claims!R261</f>
        <v>0</v>
      </c>
      <c r="F261" s="9">
        <f>+costs!L261</f>
        <v>0</v>
      </c>
      <c r="H261" s="28">
        <f t="shared" si="19"/>
        <v>8.5616123817715431E-6</v>
      </c>
      <c r="J261" s="2">
        <f t="shared" si="24"/>
        <v>448.03132687198354</v>
      </c>
      <c r="L261" s="7">
        <f>+J261/payroll!F261</f>
        <v>1.237880839833615E-3</v>
      </c>
      <c r="O261" s="2">
        <v>513.95935646118585</v>
      </c>
      <c r="P261" s="17">
        <f t="shared" si="20"/>
        <v>-65.92802958920231</v>
      </c>
      <c r="R261" s="28">
        <v>8.5620803992481606E-6</v>
      </c>
      <c r="S261" s="9">
        <f t="shared" si="23"/>
        <v>-4.6801747661756143E-10</v>
      </c>
      <c r="U261" s="25"/>
      <c r="X261" s="2"/>
    </row>
    <row r="262" spans="1:24">
      <c r="B262" s="1" t="s">
        <v>472</v>
      </c>
      <c r="C262" s="30">
        <f>SUBTOTAL(9,C140:C261)</f>
        <v>2.3119587701615721E-2</v>
      </c>
      <c r="D262" s="30">
        <f>SUBTOTAL(9,D140:D261)</f>
        <v>3.03315741271168E-2</v>
      </c>
      <c r="E262" s="30">
        <f>SUBTOTAL(9,E140:E261)</f>
        <v>9.1033460296032105E-3</v>
      </c>
      <c r="F262" s="30">
        <f>SUBTOTAL(9,F140:F261)</f>
        <v>7.3194810722813442E-3</v>
      </c>
      <c r="G262" s="30"/>
      <c r="H262" s="30">
        <f>SUBTOTAL(9,H140:H261)</f>
        <v>1.2438585776400854E-2</v>
      </c>
      <c r="I262" s="30"/>
      <c r="J262" s="2">
        <f t="shared" si="24"/>
        <v>650914.31862496131</v>
      </c>
      <c r="L262" s="7">
        <f>+J262/payroll!F262</f>
        <v>2.329835236347774E-3</v>
      </c>
      <c r="O262" s="5">
        <f>SUBTOTAL(9,O140:O261)</f>
        <v>746687.39189277717</v>
      </c>
      <c r="P262" s="31">
        <f>SUBTOTAL(9,P140:P261)</f>
        <v>-95773.073267815867</v>
      </c>
      <c r="Q262" s="11"/>
      <c r="R262" s="28">
        <f>SUM(R140:R261)</f>
        <v>1.2439110996072885E-2</v>
      </c>
      <c r="S262" s="30">
        <f>SUBTOTAL(9,S140:S261)</f>
        <v>-5.2521967202413902E-7</v>
      </c>
      <c r="U262" s="25"/>
      <c r="V262" s="11"/>
      <c r="X262" s="2"/>
    </row>
    <row r="263" spans="1:24">
      <c r="C263" s="23"/>
      <c r="D263" s="23"/>
      <c r="E263" s="23"/>
      <c r="F263" s="23"/>
      <c r="H263" s="23"/>
      <c r="J263" s="24"/>
      <c r="O263" s="71"/>
      <c r="P263" s="32"/>
      <c r="Q263" s="11"/>
      <c r="R263" s="71"/>
      <c r="S263" s="24"/>
      <c r="U263" s="33"/>
    </row>
    <row r="264" spans="1:24">
      <c r="C264" s="25">
        <f>SUBTOTAL(9,C4:C263)</f>
        <v>1.0000000000000011</v>
      </c>
      <c r="D264" s="25">
        <f>SUBTOTAL(9,D4:D263)</f>
        <v>0.99999999999999978</v>
      </c>
      <c r="E264" s="25">
        <f>SUBTOTAL(9,E4:E263)</f>
        <v>1.0000000000000011</v>
      </c>
      <c r="F264" s="25">
        <f>SUBTOTAL(9,F4:F263)</f>
        <v>1.0000000000000004</v>
      </c>
      <c r="H264" s="25">
        <f>SUBTOTAL(9,H4:H263)</f>
        <v>1.0000000000000007</v>
      </c>
      <c r="J264" s="2">
        <f>SUBTOTAL(9,J4:J261)</f>
        <v>52330251.230000004</v>
      </c>
      <c r="L264" s="34">
        <f>+J264/payroll!F264</f>
        <v>4.3304625658692007E-3</v>
      </c>
      <c r="N264" s="33"/>
      <c r="O264" s="5">
        <f>SUBTOTAL(9,O4:O261)</f>
        <v>60027392.00000006</v>
      </c>
      <c r="P264" s="31">
        <f>SUBTOTAL(9,P4:P263)</f>
        <v>-7697140.7700000023</v>
      </c>
      <c r="Q264" s="33"/>
      <c r="R264" s="72">
        <f>SUBTOTAL(9,R4:R261)</f>
        <v>1.0000000000000007</v>
      </c>
      <c r="S264" s="25">
        <f>SUBTOTAL(9,S4:S263)</f>
        <v>2.1426968950218409E-17</v>
      </c>
    </row>
    <row r="265" spans="1:24">
      <c r="J265" s="2"/>
      <c r="O265" s="5"/>
      <c r="R265" s="5"/>
      <c r="S265" s="2"/>
      <c r="V265" s="11"/>
    </row>
    <row r="266" spans="1:24">
      <c r="J266" s="2"/>
      <c r="N266" s="11"/>
      <c r="O266" s="5"/>
      <c r="R266" s="5"/>
      <c r="S266" s="2"/>
    </row>
    <row r="267" spans="1:24">
      <c r="H267" s="70" t="s">
        <v>591</v>
      </c>
      <c r="J267" s="5">
        <v>43000000</v>
      </c>
      <c r="N267" s="11"/>
      <c r="O267" s="5">
        <v>45670000</v>
      </c>
      <c r="P267" s="4">
        <f>+J267-O267</f>
        <v>-2670000</v>
      </c>
      <c r="R267" s="5"/>
      <c r="S267" s="2"/>
    </row>
    <row r="268" spans="1:24">
      <c r="H268" s="16" t="s">
        <v>494</v>
      </c>
      <c r="J268" s="5">
        <v>-2966696.8</v>
      </c>
      <c r="N268" s="11"/>
      <c r="O268" s="5">
        <v>-1000000</v>
      </c>
      <c r="P268" s="4">
        <f>+J268-O268</f>
        <v>-1966696.7999999998</v>
      </c>
      <c r="R268" s="5"/>
      <c r="S268" s="2"/>
    </row>
    <row r="269" spans="1:24">
      <c r="H269" s="16" t="s">
        <v>533</v>
      </c>
      <c r="J269" s="5">
        <f>13160325+2597067</f>
        <v>15757392</v>
      </c>
      <c r="N269" s="11"/>
      <c r="O269" s="5">
        <f>13160325+2597067</f>
        <v>15757392</v>
      </c>
      <c r="P269" s="4">
        <f>+J269-O269</f>
        <v>0</v>
      </c>
      <c r="R269" s="5"/>
      <c r="S269" s="2"/>
    </row>
    <row r="270" spans="1:24">
      <c r="H270" s="16" t="s">
        <v>494</v>
      </c>
      <c r="J270" s="5">
        <v>-3460443.97</v>
      </c>
      <c r="N270" s="11"/>
      <c r="O270" s="5">
        <v>-400000</v>
      </c>
      <c r="P270" s="4">
        <f>+J270-O270</f>
        <v>-3060443.97</v>
      </c>
      <c r="R270" s="5"/>
      <c r="S270" s="2"/>
    </row>
    <row r="271" spans="1:24">
      <c r="J271" s="2"/>
      <c r="N271" s="11"/>
      <c r="O271" s="5"/>
      <c r="P271" s="4"/>
      <c r="R271" s="5"/>
      <c r="S271" s="2"/>
    </row>
    <row r="272" spans="1:24" ht="12.75" customHeight="1" thickBot="1">
      <c r="J272" s="15">
        <f>SUM(J267:J271)</f>
        <v>52330251.230000004</v>
      </c>
      <c r="N272" s="11"/>
      <c r="O272" s="73">
        <f>SUM(O267:O271)</f>
        <v>60027392</v>
      </c>
      <c r="P272" s="74">
        <f>SUM(P267:P271)</f>
        <v>-7697140.7699999996</v>
      </c>
      <c r="R272" s="75"/>
      <c r="S272" s="2"/>
    </row>
    <row r="273" spans="1:19" ht="15.75" thickTop="1">
      <c r="A273" s="35"/>
      <c r="J273" s="2"/>
      <c r="N273" s="11"/>
      <c r="O273" s="5"/>
      <c r="R273" s="5"/>
      <c r="S273" s="2"/>
    </row>
    <row r="274" spans="1:19">
      <c r="J274" s="2"/>
      <c r="N274" s="11"/>
      <c r="O274" s="5"/>
      <c r="R274" s="5"/>
      <c r="S274" s="2"/>
    </row>
    <row r="275" spans="1:19">
      <c r="J275" s="2"/>
      <c r="N275" s="11"/>
      <c r="O275" s="5"/>
      <c r="R275" s="5"/>
      <c r="S275" s="2"/>
    </row>
    <row r="276" spans="1:19">
      <c r="J276" s="2"/>
      <c r="N276" s="11"/>
      <c r="O276" s="5"/>
      <c r="R276" s="5"/>
      <c r="S276" s="2"/>
    </row>
    <row r="277" spans="1:19">
      <c r="J277" s="2"/>
      <c r="O277" s="5"/>
      <c r="R277" s="5"/>
      <c r="S277" s="2"/>
    </row>
    <row r="278" spans="1:19">
      <c r="J278" s="2"/>
    </row>
    <row r="279" spans="1:19">
      <c r="J279" s="2"/>
    </row>
    <row r="280" spans="1:19">
      <c r="J280" s="2"/>
    </row>
    <row r="281" spans="1:19">
      <c r="J281" s="2"/>
    </row>
    <row r="282" spans="1:19">
      <c r="J282" s="2"/>
    </row>
    <row r="283" spans="1:19">
      <c r="J283" s="2"/>
    </row>
    <row r="284" spans="1:19">
      <c r="J284" s="2"/>
    </row>
  </sheetData>
  <autoFilter ref="P3:P261" xr:uid="{00000000-0009-0000-0000-000001000000}"/>
  <sortState xmlns:xlrd2="http://schemas.microsoft.com/office/spreadsheetml/2017/richdata2" ref="A140:X261">
    <sortCondition ref="A140:A261"/>
  </sortState>
  <dataConsolidate/>
  <phoneticPr fontId="5" type="noConversion"/>
  <printOptions horizontalCentered="1"/>
  <pageMargins left="0.25" right="0.25" top="0.95" bottom="0.5" header="0.5" footer="0.25"/>
  <pageSetup scale="76" fitToHeight="3" orientation="landscape" horizontalDpi="4294967292" verticalDpi="200" r:id="rId1"/>
  <headerFooter alignWithMargins="0">
    <oddHeader>&amp;C&amp;"Arial,Bold"&amp;14State Office of Risk Management
FY 2026  Assessment Amounts</oddHeader>
    <oddFooter>&amp;L &amp;D&amp;CPage &amp;P of &amp;N</oddFooter>
  </headerFooter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P277"/>
  <sheetViews>
    <sheetView view="pageBreakPreview" zoomScaleNormal="100" zoomScaleSheetLayoutView="100" workbookViewId="0">
      <selection activeCell="B2" sqref="B2"/>
    </sheetView>
  </sheetViews>
  <sheetFormatPr defaultColWidth="9.140625" defaultRowHeight="12.75" outlineLevelRow="1"/>
  <cols>
    <col min="1" max="1" width="6.85546875" style="1" bestFit="1" customWidth="1"/>
    <col min="2" max="2" width="53.28515625" style="1" customWidth="1"/>
    <col min="3" max="3" width="17.85546875" style="11" bestFit="1" customWidth="1"/>
    <col min="4" max="4" width="18.7109375" style="11" customWidth="1"/>
    <col min="5" max="5" width="17.42578125" style="78" bestFit="1" customWidth="1"/>
    <col min="6" max="6" width="17.85546875" style="1" bestFit="1" customWidth="1"/>
    <col min="7" max="7" width="11.7109375" style="9" customWidth="1"/>
    <col min="8" max="8" width="9.140625" style="1"/>
    <col min="9" max="9" width="16.7109375" style="36" customWidth="1"/>
    <col min="10" max="10" width="15.140625" style="1" bestFit="1" customWidth="1"/>
    <col min="11" max="11" width="12.85546875" style="1" bestFit="1" customWidth="1"/>
    <col min="12" max="12" width="11.5703125" style="1" bestFit="1" customWidth="1"/>
    <col min="13" max="13" width="12" style="1" customWidth="1"/>
    <col min="14" max="14" width="11" style="1" bestFit="1" customWidth="1"/>
    <col min="15" max="15" width="13.7109375" style="1" bestFit="1" customWidth="1"/>
    <col min="16" max="16" width="13.85546875" style="1" bestFit="1" customWidth="1"/>
    <col min="17" max="16384" width="9.140625" style="1"/>
  </cols>
  <sheetData>
    <row r="1" spans="1:9">
      <c r="E1" s="11"/>
    </row>
    <row r="2" spans="1:9">
      <c r="A2" s="12" t="s">
        <v>449</v>
      </c>
      <c r="B2" s="19"/>
      <c r="E2" s="11"/>
      <c r="F2" s="12" t="s">
        <v>429</v>
      </c>
      <c r="G2" s="12" t="s">
        <v>3</v>
      </c>
    </row>
    <row r="3" spans="1:9">
      <c r="A3" s="13" t="s">
        <v>447</v>
      </c>
      <c r="B3" s="13" t="s">
        <v>448</v>
      </c>
      <c r="C3" s="13" t="s">
        <v>563</v>
      </c>
      <c r="D3" s="13" t="s">
        <v>585</v>
      </c>
      <c r="E3" s="13" t="s">
        <v>593</v>
      </c>
      <c r="F3" s="13" t="s">
        <v>430</v>
      </c>
      <c r="G3" s="13" t="s">
        <v>5</v>
      </c>
      <c r="I3" s="18"/>
    </row>
    <row r="4" spans="1:9">
      <c r="E4" s="11"/>
    </row>
    <row r="5" spans="1:9">
      <c r="A5" s="1" t="s">
        <v>7</v>
      </c>
      <c r="B5" s="1" t="s">
        <v>500</v>
      </c>
      <c r="C5" s="27">
        <v>30269078.100000001</v>
      </c>
      <c r="D5" s="27">
        <v>36697632.350000001</v>
      </c>
      <c r="E5" s="27">
        <v>39082362</v>
      </c>
      <c r="F5" s="2">
        <f>IF(C5&gt;0,(+C5+(D5*2)+(E5*3))/6,IF(D5&gt;0,((D5*2)+(E5*3))/5,E5))</f>
        <v>36818571.466666669</v>
      </c>
      <c r="G5" s="9">
        <f t="shared" ref="G5:G68" si="0">+F5/$F$264</f>
        <v>3.0468312633243188E-3</v>
      </c>
    </row>
    <row r="6" spans="1:9">
      <c r="A6" s="1" t="s">
        <v>8</v>
      </c>
      <c r="B6" s="1" t="s">
        <v>501</v>
      </c>
      <c r="C6" s="27">
        <v>32615192</v>
      </c>
      <c r="D6" s="27">
        <v>40407364</v>
      </c>
      <c r="E6" s="27">
        <v>42054278</v>
      </c>
      <c r="F6" s="2">
        <f t="shared" ref="F6:F69" si="1">IF(C6&gt;0,(+C6+(D6*2)+(E6*3))/6,IF(D6&gt;0,((D6*2)+(E6*3))/5,E6))</f>
        <v>39932125.666666664</v>
      </c>
      <c r="G6" s="9">
        <f t="shared" si="0"/>
        <v>3.3044858625855423E-3</v>
      </c>
    </row>
    <row r="7" spans="1:9">
      <c r="A7" s="1" t="s">
        <v>9</v>
      </c>
      <c r="B7" s="1" t="s">
        <v>10</v>
      </c>
      <c r="C7" s="27">
        <v>27860961.920000002</v>
      </c>
      <c r="D7" s="27">
        <v>32755436.420000002</v>
      </c>
      <c r="E7" s="27">
        <v>32606616.57</v>
      </c>
      <c r="F7" s="2">
        <f t="shared" si="1"/>
        <v>31865280.745000005</v>
      </c>
      <c r="G7" s="9">
        <f t="shared" si="0"/>
        <v>2.6369337462310355E-3</v>
      </c>
    </row>
    <row r="8" spans="1:9">
      <c r="A8" s="1" t="s">
        <v>11</v>
      </c>
      <c r="B8" s="1" t="s">
        <v>12</v>
      </c>
      <c r="C8" s="27">
        <v>11496805</v>
      </c>
      <c r="D8" s="27">
        <v>12724951.890000001</v>
      </c>
      <c r="E8" s="27">
        <v>16106054</v>
      </c>
      <c r="F8" s="2">
        <f t="shared" si="1"/>
        <v>14210811.796666667</v>
      </c>
      <c r="G8" s="9">
        <f t="shared" si="0"/>
        <v>1.1759811403465612E-3</v>
      </c>
    </row>
    <row r="9" spans="1:9">
      <c r="A9" s="1" t="s">
        <v>13</v>
      </c>
      <c r="B9" s="1" t="s">
        <v>14</v>
      </c>
      <c r="C9" s="27">
        <v>1311911</v>
      </c>
      <c r="D9" s="27">
        <v>1381287.93</v>
      </c>
      <c r="E9" s="27">
        <v>1496557</v>
      </c>
      <c r="F9" s="2">
        <f t="shared" si="1"/>
        <v>1427359.6433333333</v>
      </c>
      <c r="G9" s="9">
        <f t="shared" si="0"/>
        <v>1.1811767301327007E-4</v>
      </c>
    </row>
    <row r="10" spans="1:9">
      <c r="A10" s="1" t="s">
        <v>15</v>
      </c>
      <c r="B10" s="1" t="s">
        <v>16</v>
      </c>
      <c r="C10" s="27">
        <v>2080070.62</v>
      </c>
      <c r="D10" s="27">
        <v>2044603.21</v>
      </c>
      <c r="E10" s="27">
        <v>2800557.85</v>
      </c>
      <c r="F10" s="2">
        <f t="shared" si="1"/>
        <v>2428491.7650000001</v>
      </c>
      <c r="G10" s="9">
        <f t="shared" si="0"/>
        <v>2.0096392493191791E-4</v>
      </c>
    </row>
    <row r="11" spans="1:9">
      <c r="A11" s="1" t="s">
        <v>17</v>
      </c>
      <c r="B11" s="1" t="s">
        <v>18</v>
      </c>
      <c r="C11" s="27">
        <v>7747179</v>
      </c>
      <c r="D11" s="27">
        <v>8240720</v>
      </c>
      <c r="E11" s="27">
        <v>7023424</v>
      </c>
      <c r="F11" s="2">
        <f t="shared" si="1"/>
        <v>7549815.166666667</v>
      </c>
      <c r="G11" s="9">
        <f t="shared" si="0"/>
        <v>6.2476657745794552E-4</v>
      </c>
    </row>
    <row r="12" spans="1:9">
      <c r="A12" s="1" t="s">
        <v>19</v>
      </c>
      <c r="B12" s="1" t="s">
        <v>20</v>
      </c>
      <c r="C12" s="27">
        <v>1874267</v>
      </c>
      <c r="D12" s="27">
        <v>1554604.79</v>
      </c>
      <c r="E12" s="27">
        <v>2156319</v>
      </c>
      <c r="F12" s="2">
        <f t="shared" si="1"/>
        <v>1908738.93</v>
      </c>
      <c r="G12" s="9">
        <f t="shared" si="0"/>
        <v>1.5795304417808034E-4</v>
      </c>
    </row>
    <row r="13" spans="1:9">
      <c r="A13" s="1" t="s">
        <v>21</v>
      </c>
      <c r="B13" s="1" t="s">
        <v>22</v>
      </c>
      <c r="C13" s="27">
        <v>7022312.79</v>
      </c>
      <c r="D13" s="27">
        <v>6902979</v>
      </c>
      <c r="E13" s="27">
        <v>7835837</v>
      </c>
      <c r="F13" s="2">
        <f t="shared" si="1"/>
        <v>7389296.9649999999</v>
      </c>
      <c r="G13" s="9">
        <f t="shared" si="0"/>
        <v>6.1148328438902851E-4</v>
      </c>
    </row>
    <row r="14" spans="1:9">
      <c r="A14" s="1" t="s">
        <v>23</v>
      </c>
      <c r="B14" s="1" t="s">
        <v>24</v>
      </c>
      <c r="C14" s="27">
        <v>23036846.530000001</v>
      </c>
      <c r="D14" s="27">
        <v>23564983.34</v>
      </c>
      <c r="E14" s="27">
        <v>24303796.75</v>
      </c>
      <c r="F14" s="2">
        <f t="shared" si="1"/>
        <v>23846367.243333336</v>
      </c>
      <c r="G14" s="9">
        <f t="shared" si="0"/>
        <v>1.9733480778709521E-3</v>
      </c>
    </row>
    <row r="15" spans="1:9">
      <c r="A15" s="1" t="s">
        <v>25</v>
      </c>
      <c r="B15" s="1" t="s">
        <v>26</v>
      </c>
      <c r="C15" s="27">
        <v>418146.12</v>
      </c>
      <c r="D15" s="27">
        <v>446491.22</v>
      </c>
      <c r="E15" s="27">
        <v>446947</v>
      </c>
      <c r="F15" s="2">
        <f t="shared" si="1"/>
        <v>441994.9266666667</v>
      </c>
      <c r="G15" s="9">
        <f t="shared" si="0"/>
        <v>3.6576214316678387E-5</v>
      </c>
    </row>
    <row r="16" spans="1:9">
      <c r="A16" s="1" t="s">
        <v>532</v>
      </c>
      <c r="B16" s="1" t="s">
        <v>555</v>
      </c>
      <c r="C16" s="27">
        <v>1821219</v>
      </c>
      <c r="D16" s="27">
        <v>1745715.11</v>
      </c>
      <c r="E16" s="27">
        <v>2562751.63</v>
      </c>
      <c r="F16" s="2">
        <f t="shared" si="1"/>
        <v>2166817.3516666666</v>
      </c>
      <c r="G16" s="9">
        <f t="shared" si="0"/>
        <v>1.7930969578623096E-4</v>
      </c>
    </row>
    <row r="17" spans="1:7">
      <c r="A17" s="1" t="s">
        <v>27</v>
      </c>
      <c r="B17" s="1" t="s">
        <v>502</v>
      </c>
      <c r="C17" s="27">
        <v>4588487.43</v>
      </c>
      <c r="D17" s="27">
        <v>4354868.13</v>
      </c>
      <c r="E17" s="27">
        <v>4768111.2</v>
      </c>
      <c r="F17" s="2">
        <f t="shared" si="1"/>
        <v>4600426.2149999999</v>
      </c>
      <c r="G17" s="9">
        <f t="shared" si="0"/>
        <v>3.8069707373542899E-4</v>
      </c>
    </row>
    <row r="18" spans="1:7">
      <c r="A18" s="1" t="s">
        <v>28</v>
      </c>
      <c r="B18" s="1" t="s">
        <v>503</v>
      </c>
      <c r="C18" s="27">
        <v>3507854.6</v>
      </c>
      <c r="D18" s="27">
        <v>3649460</v>
      </c>
      <c r="E18" s="27">
        <v>4344308</v>
      </c>
      <c r="F18" s="2">
        <f t="shared" si="1"/>
        <v>3973283.1</v>
      </c>
      <c r="G18" s="9">
        <f t="shared" si="0"/>
        <v>3.2879937175395694E-4</v>
      </c>
    </row>
    <row r="19" spans="1:7">
      <c r="A19" s="1" t="s">
        <v>29</v>
      </c>
      <c r="B19" s="1" t="s">
        <v>504</v>
      </c>
      <c r="C19" s="27">
        <v>3048292.18</v>
      </c>
      <c r="D19" s="27">
        <v>3096807.72</v>
      </c>
      <c r="E19" s="27">
        <v>3788425.3</v>
      </c>
      <c r="F19" s="2">
        <f t="shared" si="1"/>
        <v>3434530.5866666664</v>
      </c>
      <c r="G19" s="9">
        <f t="shared" si="0"/>
        <v>2.8421621886589178E-4</v>
      </c>
    </row>
    <row r="20" spans="1:7">
      <c r="A20" s="1" t="s">
        <v>30</v>
      </c>
      <c r="B20" s="1" t="s">
        <v>505</v>
      </c>
      <c r="C20" s="27">
        <v>3389140.27</v>
      </c>
      <c r="D20" s="27">
        <v>3792029.83</v>
      </c>
      <c r="E20" s="27">
        <v>4279129</v>
      </c>
      <c r="F20" s="2">
        <f t="shared" si="1"/>
        <v>3968431.1549999998</v>
      </c>
      <c r="G20" s="9">
        <f t="shared" si="0"/>
        <v>3.2839786085537919E-4</v>
      </c>
    </row>
    <row r="21" spans="1:7">
      <c r="A21" s="1" t="s">
        <v>31</v>
      </c>
      <c r="B21" s="1" t="s">
        <v>506</v>
      </c>
      <c r="C21" s="27">
        <v>6027446</v>
      </c>
      <c r="D21" s="27">
        <v>6678420</v>
      </c>
      <c r="E21" s="27">
        <v>6917016.0499999998</v>
      </c>
      <c r="F21" s="2">
        <f t="shared" si="1"/>
        <v>6689222.3583333334</v>
      </c>
      <c r="G21" s="9">
        <f t="shared" si="0"/>
        <v>5.5355031433388735E-4</v>
      </c>
    </row>
    <row r="22" spans="1:7">
      <c r="A22" s="1" t="s">
        <v>32</v>
      </c>
      <c r="B22" s="1" t="s">
        <v>507</v>
      </c>
      <c r="C22" s="27">
        <v>1563307</v>
      </c>
      <c r="D22" s="27">
        <v>1608448</v>
      </c>
      <c r="E22" s="27">
        <v>1795292</v>
      </c>
      <c r="F22" s="2">
        <f t="shared" si="1"/>
        <v>1694346.5</v>
      </c>
      <c r="G22" s="9">
        <f t="shared" si="0"/>
        <v>1.4021152047623181E-4</v>
      </c>
    </row>
    <row r="23" spans="1:7">
      <c r="A23" s="1" t="s">
        <v>33</v>
      </c>
      <c r="B23" s="1" t="s">
        <v>508</v>
      </c>
      <c r="C23" s="27">
        <v>1883952.37</v>
      </c>
      <c r="D23" s="27">
        <v>1413204</v>
      </c>
      <c r="E23" s="27">
        <v>2240788</v>
      </c>
      <c r="F23" s="2">
        <f t="shared" si="1"/>
        <v>1905454.0616666668</v>
      </c>
      <c r="G23" s="9">
        <f t="shared" si="0"/>
        <v>1.5768121289470302E-4</v>
      </c>
    </row>
    <row r="24" spans="1:7">
      <c r="A24" s="1" t="s">
        <v>34</v>
      </c>
      <c r="B24" s="1" t="s">
        <v>509</v>
      </c>
      <c r="C24" s="27">
        <v>1581034</v>
      </c>
      <c r="D24" s="27">
        <v>1644639</v>
      </c>
      <c r="E24" s="27">
        <v>1784636</v>
      </c>
      <c r="F24" s="2">
        <f t="shared" si="1"/>
        <v>1704036.6666666667</v>
      </c>
      <c r="G24" s="9">
        <f t="shared" si="0"/>
        <v>1.4101340663234062E-4</v>
      </c>
    </row>
    <row r="25" spans="1:7">
      <c r="A25" s="1" t="s">
        <v>35</v>
      </c>
      <c r="B25" s="1" t="s">
        <v>510</v>
      </c>
      <c r="C25" s="27">
        <v>1894840</v>
      </c>
      <c r="D25" s="27">
        <v>2186666.7599999998</v>
      </c>
      <c r="E25" s="27">
        <v>1743170.55</v>
      </c>
      <c r="F25" s="2">
        <f t="shared" si="1"/>
        <v>1916280.8616666666</v>
      </c>
      <c r="G25" s="9">
        <f t="shared" si="0"/>
        <v>1.5857715837568463E-4</v>
      </c>
    </row>
    <row r="26" spans="1:7">
      <c r="A26" s="1" t="s">
        <v>36</v>
      </c>
      <c r="B26" s="1" t="s">
        <v>511</v>
      </c>
      <c r="C26" s="27">
        <v>1580970</v>
      </c>
      <c r="D26" s="27">
        <v>1680718</v>
      </c>
      <c r="E26" s="27">
        <v>1743467.8</v>
      </c>
      <c r="F26" s="2">
        <f t="shared" si="1"/>
        <v>1695468.2333333334</v>
      </c>
      <c r="G26" s="9">
        <f t="shared" si="0"/>
        <v>1.4030434678787205E-4</v>
      </c>
    </row>
    <row r="27" spans="1:7">
      <c r="A27" s="1" t="s">
        <v>37</v>
      </c>
      <c r="B27" s="1" t="s">
        <v>512</v>
      </c>
      <c r="C27" s="27">
        <v>1515557</v>
      </c>
      <c r="D27" s="27">
        <v>1654200</v>
      </c>
      <c r="E27" s="27">
        <v>1805835</v>
      </c>
      <c r="F27" s="2">
        <f t="shared" si="1"/>
        <v>1706910.3333333333</v>
      </c>
      <c r="G27" s="9">
        <f t="shared" si="0"/>
        <v>1.412512099226801E-4</v>
      </c>
    </row>
    <row r="28" spans="1:7">
      <c r="A28" s="1" t="s">
        <v>38</v>
      </c>
      <c r="B28" s="1" t="s">
        <v>513</v>
      </c>
      <c r="C28" s="27">
        <v>1634249.84</v>
      </c>
      <c r="D28" s="27">
        <v>1627645.21</v>
      </c>
      <c r="E28" s="27">
        <v>1741152.54</v>
      </c>
      <c r="F28" s="2">
        <f t="shared" si="1"/>
        <v>1685499.6466666665</v>
      </c>
      <c r="G28" s="9">
        <f t="shared" si="0"/>
        <v>1.3947942066235258E-4</v>
      </c>
    </row>
    <row r="29" spans="1:7">
      <c r="A29" s="1" t="s">
        <v>39</v>
      </c>
      <c r="B29" s="1" t="s">
        <v>514</v>
      </c>
      <c r="C29" s="27">
        <v>3013048</v>
      </c>
      <c r="D29" s="27">
        <v>3293312.48</v>
      </c>
      <c r="E29" s="27">
        <v>3583777.84</v>
      </c>
      <c r="F29" s="2">
        <f t="shared" si="1"/>
        <v>3391834.4133333336</v>
      </c>
      <c r="G29" s="9">
        <f t="shared" si="0"/>
        <v>2.8068300096649321E-4</v>
      </c>
    </row>
    <row r="30" spans="1:7">
      <c r="A30" s="1" t="s">
        <v>40</v>
      </c>
      <c r="B30" s="1" t="s">
        <v>515</v>
      </c>
      <c r="C30" s="27">
        <v>5000827</v>
      </c>
      <c r="D30" s="27">
        <v>4826457.93</v>
      </c>
      <c r="E30" s="27">
        <v>5271336.3899999997</v>
      </c>
      <c r="F30" s="2">
        <f t="shared" si="1"/>
        <v>5077958.6716666659</v>
      </c>
      <c r="G30" s="9">
        <f t="shared" si="0"/>
        <v>4.2021410984698207E-4</v>
      </c>
    </row>
    <row r="31" spans="1:7">
      <c r="A31" s="48" t="s">
        <v>587</v>
      </c>
      <c r="B31" s="48" t="s">
        <v>588</v>
      </c>
      <c r="C31" s="27">
        <v>0</v>
      </c>
      <c r="D31" s="27">
        <v>0</v>
      </c>
      <c r="E31" s="27">
        <v>2207197</v>
      </c>
      <c r="F31" s="2">
        <f>IF(C31&gt;0,(+C31+(D31*2)+(E31*3))/6,IF(D31&gt;0,((D31*2)+(E31*3))/5,E31))</f>
        <v>2207197</v>
      </c>
      <c r="G31" s="9">
        <f t="shared" si="0"/>
        <v>1.8265121529780208E-4</v>
      </c>
    </row>
    <row r="32" spans="1:7">
      <c r="A32" s="1" t="s">
        <v>41</v>
      </c>
      <c r="B32" s="1" t="s">
        <v>516</v>
      </c>
      <c r="C32" s="27">
        <v>104971565</v>
      </c>
      <c r="D32" s="27">
        <v>107489032.23</v>
      </c>
      <c r="E32" s="27">
        <v>106298369</v>
      </c>
      <c r="F32" s="2">
        <f>IF(C32&gt;0,(+C32+(D32*2)+(E32*3))/6,IF(D32&gt;0,((D32*2)+(E32*3))/5,E32))</f>
        <v>106474122.74333334</v>
      </c>
      <c r="G32" s="9">
        <f t="shared" si="0"/>
        <v>8.8110068638355271E-3</v>
      </c>
    </row>
    <row r="33" spans="1:7">
      <c r="A33" s="1" t="s">
        <v>42</v>
      </c>
      <c r="B33" s="1" t="s">
        <v>43</v>
      </c>
      <c r="C33" s="27">
        <v>997530</v>
      </c>
      <c r="D33" s="27">
        <v>963200</v>
      </c>
      <c r="E33" s="27">
        <v>958758.85</v>
      </c>
      <c r="F33" s="2">
        <f t="shared" si="1"/>
        <v>966701.09166666667</v>
      </c>
      <c r="G33" s="9">
        <f t="shared" si="0"/>
        <v>7.999699583799209E-5</v>
      </c>
    </row>
    <row r="34" spans="1:7">
      <c r="A34" s="1" t="s">
        <v>44</v>
      </c>
      <c r="B34" s="1" t="s">
        <v>45</v>
      </c>
      <c r="C34" s="27">
        <v>592835.39</v>
      </c>
      <c r="D34" s="27">
        <v>661271.07999999996</v>
      </c>
      <c r="E34" s="27">
        <v>723179.27</v>
      </c>
      <c r="F34" s="2">
        <f t="shared" si="1"/>
        <v>680819.22666666668</v>
      </c>
      <c r="G34" s="9">
        <f t="shared" si="0"/>
        <v>5.6339537951880352E-5</v>
      </c>
    </row>
    <row r="35" spans="1:7">
      <c r="A35" s="1" t="s">
        <v>46</v>
      </c>
      <c r="B35" s="1" t="s">
        <v>562</v>
      </c>
      <c r="C35" s="27">
        <f>12246005.12+8172080</f>
        <v>20418085.119999997</v>
      </c>
      <c r="D35" s="27">
        <f>14345868.93+9918148.65</f>
        <v>24264017.579999998</v>
      </c>
      <c r="E35" s="27">
        <f>15076593+12469777</f>
        <v>27546370</v>
      </c>
      <c r="F35" s="2">
        <f t="shared" si="1"/>
        <v>25264205.046666667</v>
      </c>
      <c r="G35" s="9">
        <f t="shared" si="0"/>
        <v>2.0906777941916972E-3</v>
      </c>
    </row>
    <row r="36" spans="1:7">
      <c r="A36" s="1" t="s">
        <v>48</v>
      </c>
      <c r="B36" s="1" t="s">
        <v>49</v>
      </c>
      <c r="C36" s="27">
        <v>253316825</v>
      </c>
      <c r="D36" s="27">
        <v>253316825</v>
      </c>
      <c r="E36" s="27">
        <v>284942274</v>
      </c>
      <c r="F36" s="2">
        <f t="shared" si="1"/>
        <v>269129549.5</v>
      </c>
      <c r="G36" s="9">
        <f t="shared" si="0"/>
        <v>2.227116079295368E-2</v>
      </c>
    </row>
    <row r="37" spans="1:7">
      <c r="A37" s="1" t="s">
        <v>50</v>
      </c>
      <c r="B37" s="1" t="s">
        <v>485</v>
      </c>
      <c r="C37" s="27">
        <v>21389983.690000001</v>
      </c>
      <c r="D37" s="27">
        <f>24419585.19</f>
        <v>24419585.190000001</v>
      </c>
      <c r="E37" s="27">
        <v>28230765.609999999</v>
      </c>
      <c r="F37" s="2">
        <f t="shared" si="1"/>
        <v>25820241.816666666</v>
      </c>
      <c r="G37" s="9">
        <f t="shared" si="0"/>
        <v>2.1366912636693941E-3</v>
      </c>
    </row>
    <row r="38" spans="1:7">
      <c r="A38" s="1" t="s">
        <v>51</v>
      </c>
      <c r="B38" s="1" t="s">
        <v>52</v>
      </c>
      <c r="C38" s="27">
        <v>179654242.06999999</v>
      </c>
      <c r="D38" s="27">
        <v>195354129.22</v>
      </c>
      <c r="E38" s="27">
        <v>219201528.53</v>
      </c>
      <c r="F38" s="2">
        <f t="shared" si="1"/>
        <v>204661181.01666665</v>
      </c>
      <c r="G38" s="9">
        <f t="shared" si="0"/>
        <v>1.6936237878620541E-2</v>
      </c>
    </row>
    <row r="39" spans="1:7">
      <c r="A39" s="1" t="s">
        <v>53</v>
      </c>
      <c r="B39" s="1" t="s">
        <v>54</v>
      </c>
      <c r="C39" s="27">
        <v>61292534</v>
      </c>
      <c r="D39" s="27">
        <v>65667867</v>
      </c>
      <c r="E39" s="27">
        <v>73486233</v>
      </c>
      <c r="F39" s="2">
        <f t="shared" si="1"/>
        <v>68847827.833333328</v>
      </c>
      <c r="G39" s="9">
        <f t="shared" si="0"/>
        <v>5.6973344130008229E-3</v>
      </c>
    </row>
    <row r="40" spans="1:7">
      <c r="A40" s="1" t="s">
        <v>55</v>
      </c>
      <c r="B40" s="1" t="s">
        <v>56</v>
      </c>
      <c r="C40" s="27">
        <v>9511162</v>
      </c>
      <c r="D40" s="27">
        <v>8310399</v>
      </c>
      <c r="E40" s="27">
        <v>9212359</v>
      </c>
      <c r="F40" s="2">
        <f t="shared" si="1"/>
        <v>8961506.166666666</v>
      </c>
      <c r="G40" s="9">
        <f t="shared" si="0"/>
        <v>7.4158763003049309E-4</v>
      </c>
    </row>
    <row r="41" spans="1:7">
      <c r="A41" s="1" t="s">
        <v>57</v>
      </c>
      <c r="B41" s="1" t="s">
        <v>58</v>
      </c>
      <c r="C41" s="27">
        <v>11639268.369999999</v>
      </c>
      <c r="D41" s="27">
        <v>12541156.130000001</v>
      </c>
      <c r="E41" s="27">
        <v>16781974</v>
      </c>
      <c r="F41" s="2">
        <f t="shared" si="1"/>
        <v>14511250.438333333</v>
      </c>
      <c r="G41" s="9">
        <f t="shared" si="0"/>
        <v>1.200843208853739E-3</v>
      </c>
    </row>
    <row r="42" spans="1:7">
      <c r="A42" s="1" t="s">
        <v>59</v>
      </c>
      <c r="B42" s="1" t="s">
        <v>60</v>
      </c>
      <c r="C42" s="27">
        <v>15954716</v>
      </c>
      <c r="D42" s="27">
        <v>16638244</v>
      </c>
      <c r="E42" s="27">
        <v>17442981</v>
      </c>
      <c r="F42" s="2">
        <f t="shared" si="1"/>
        <v>16926691.166666668</v>
      </c>
      <c r="G42" s="9">
        <f t="shared" si="0"/>
        <v>1.4007271270132381E-3</v>
      </c>
    </row>
    <row r="43" spans="1:7">
      <c r="A43" s="1" t="s">
        <v>61</v>
      </c>
      <c r="B43" s="1" t="s">
        <v>517</v>
      </c>
      <c r="C43" s="27">
        <v>6206888</v>
      </c>
      <c r="D43" s="27">
        <v>6357030.9500000002</v>
      </c>
      <c r="E43" s="27">
        <v>6846580</v>
      </c>
      <c r="F43" s="2">
        <f t="shared" si="1"/>
        <v>6576781.6499999994</v>
      </c>
      <c r="G43" s="9">
        <f t="shared" si="0"/>
        <v>5.4424555720254415E-4</v>
      </c>
    </row>
    <row r="44" spans="1:7">
      <c r="A44" s="1" t="s">
        <v>62</v>
      </c>
      <c r="B44" s="1" t="s">
        <v>63</v>
      </c>
      <c r="C44" s="27">
        <v>19477000</v>
      </c>
      <c r="D44" s="27">
        <v>21945251</v>
      </c>
      <c r="E44" s="27">
        <v>24648458.850000001</v>
      </c>
      <c r="F44" s="2">
        <f t="shared" si="1"/>
        <v>22885479.758333337</v>
      </c>
      <c r="G44" s="9">
        <f t="shared" si="0"/>
        <v>1.8938321729020263E-3</v>
      </c>
    </row>
    <row r="45" spans="1:7">
      <c r="A45" s="1" t="s">
        <v>64</v>
      </c>
      <c r="B45" s="1" t="s">
        <v>518</v>
      </c>
      <c r="C45" s="27">
        <v>233875100</v>
      </c>
      <c r="D45" s="27">
        <v>242020827</v>
      </c>
      <c r="E45" s="27">
        <v>276963600</v>
      </c>
      <c r="F45" s="2">
        <f t="shared" si="1"/>
        <v>258134592.33333334</v>
      </c>
      <c r="G45" s="9">
        <f t="shared" si="0"/>
        <v>2.1361299874948197E-2</v>
      </c>
    </row>
    <row r="46" spans="1:7">
      <c r="A46" s="1" t="s">
        <v>538</v>
      </c>
      <c r="B46" s="1" t="s">
        <v>539</v>
      </c>
      <c r="C46" s="27">
        <v>526706.32999999996</v>
      </c>
      <c r="D46" s="27">
        <v>450800</v>
      </c>
      <c r="E46" s="27">
        <v>571733</v>
      </c>
      <c r="F46" s="2">
        <f t="shared" si="1"/>
        <v>523917.55499999999</v>
      </c>
      <c r="G46" s="9">
        <f t="shared" si="0"/>
        <v>4.3355522020283222E-5</v>
      </c>
    </row>
    <row r="47" spans="1:7">
      <c r="A47" s="1" t="s">
        <v>65</v>
      </c>
      <c r="B47" s="1" t="s">
        <v>66</v>
      </c>
      <c r="C47" s="27">
        <v>9238696.7599999998</v>
      </c>
      <c r="D47" s="27">
        <v>11074732.140000001</v>
      </c>
      <c r="E47" s="27">
        <v>12307041</v>
      </c>
      <c r="F47" s="2">
        <f t="shared" si="1"/>
        <v>11384880.673333332</v>
      </c>
      <c r="G47" s="9">
        <f t="shared" si="0"/>
        <v>9.4212808870472019E-4</v>
      </c>
    </row>
    <row r="48" spans="1:7">
      <c r="A48" s="1" t="s">
        <v>67</v>
      </c>
      <c r="B48" s="1" t="s">
        <v>68</v>
      </c>
      <c r="C48" s="27">
        <v>24632655</v>
      </c>
      <c r="D48" s="27">
        <v>30216494</v>
      </c>
      <c r="E48" s="27">
        <v>30771660.489999998</v>
      </c>
      <c r="F48" s="2">
        <f t="shared" si="1"/>
        <v>29563437.411666665</v>
      </c>
      <c r="G48" s="9">
        <f t="shared" si="0"/>
        <v>2.446450303992541E-3</v>
      </c>
    </row>
    <row r="49" spans="1:16">
      <c r="A49" s="1" t="s">
        <v>69</v>
      </c>
      <c r="B49" s="1" t="s">
        <v>70</v>
      </c>
      <c r="C49" s="27">
        <v>847352.63</v>
      </c>
      <c r="D49" s="27">
        <v>1050064.3600000001</v>
      </c>
      <c r="E49" s="27">
        <v>1081002</v>
      </c>
      <c r="F49" s="2">
        <f t="shared" si="1"/>
        <v>1031747.8916666666</v>
      </c>
      <c r="G49" s="9">
        <f t="shared" si="0"/>
        <v>8.5379785444553293E-5</v>
      </c>
    </row>
    <row r="50" spans="1:16">
      <c r="A50" s="1" t="s">
        <v>71</v>
      </c>
      <c r="B50" s="1" t="s">
        <v>72</v>
      </c>
      <c r="C50" s="27">
        <v>1350568.01</v>
      </c>
      <c r="D50" s="27">
        <v>1411798.54</v>
      </c>
      <c r="E50" s="27">
        <v>1611007.63</v>
      </c>
      <c r="F50" s="2">
        <f t="shared" si="1"/>
        <v>1501197.9966666668</v>
      </c>
      <c r="G50" s="9">
        <f t="shared" si="0"/>
        <v>1.242279862168137E-4</v>
      </c>
    </row>
    <row r="51" spans="1:16">
      <c r="A51" s="1" t="s">
        <v>73</v>
      </c>
      <c r="B51" s="1" t="s">
        <v>74</v>
      </c>
      <c r="C51" s="27">
        <v>793378.97</v>
      </c>
      <c r="D51" s="27">
        <v>753065</v>
      </c>
      <c r="E51" s="27">
        <v>856920.13</v>
      </c>
      <c r="F51" s="2">
        <f t="shared" si="1"/>
        <v>811711.55999999994</v>
      </c>
      <c r="G51" s="9">
        <f t="shared" si="0"/>
        <v>6.7171214397842508E-5</v>
      </c>
    </row>
    <row r="52" spans="1:16">
      <c r="A52" s="1" t="s">
        <v>75</v>
      </c>
      <c r="B52" s="1" t="s">
        <v>76</v>
      </c>
      <c r="C52" s="27">
        <v>1872385.3</v>
      </c>
      <c r="D52" s="27">
        <v>1922389.56</v>
      </c>
      <c r="E52" s="27">
        <v>2364639.23</v>
      </c>
      <c r="F52" s="2">
        <f t="shared" si="1"/>
        <v>2135180.3516666666</v>
      </c>
      <c r="G52" s="9">
        <f t="shared" si="0"/>
        <v>1.766916528574047E-4</v>
      </c>
    </row>
    <row r="53" spans="1:16">
      <c r="A53" s="1" t="s">
        <v>77</v>
      </c>
      <c r="B53" s="1" t="s">
        <v>78</v>
      </c>
      <c r="C53" s="27">
        <v>834894</v>
      </c>
      <c r="D53" s="27">
        <v>752154.68</v>
      </c>
      <c r="E53" s="27">
        <v>1047639.14</v>
      </c>
      <c r="F53" s="2">
        <f t="shared" si="1"/>
        <v>913686.79666666675</v>
      </c>
      <c r="G53" s="9">
        <f t="shared" si="0"/>
        <v>7.5609926894936184E-5</v>
      </c>
    </row>
    <row r="54" spans="1:16">
      <c r="A54" s="1" t="s">
        <v>79</v>
      </c>
      <c r="B54" s="1" t="s">
        <v>80</v>
      </c>
      <c r="C54" s="76">
        <v>8846753.0399999991</v>
      </c>
      <c r="D54" s="76">
        <v>9208137</v>
      </c>
      <c r="E54" s="76">
        <v>9810693.7300000004</v>
      </c>
      <c r="F54" s="2">
        <f t="shared" si="1"/>
        <v>9449184.7050000001</v>
      </c>
      <c r="G54" s="9">
        <f t="shared" si="0"/>
        <v>7.8194428043425819E-4</v>
      </c>
    </row>
    <row r="55" spans="1:16">
      <c r="A55" s="1" t="s">
        <v>81</v>
      </c>
      <c r="B55" s="1" t="s">
        <v>82</v>
      </c>
      <c r="C55" s="27">
        <v>524224</v>
      </c>
      <c r="D55" s="27">
        <v>582864</v>
      </c>
      <c r="E55" s="27">
        <v>682755</v>
      </c>
      <c r="F55" s="2">
        <f t="shared" si="1"/>
        <v>623036.16666666663</v>
      </c>
      <c r="G55" s="9">
        <f t="shared" si="0"/>
        <v>5.1557841468682054E-5</v>
      </c>
    </row>
    <row r="56" spans="1:16">
      <c r="A56" s="1" t="s">
        <v>83</v>
      </c>
      <c r="B56" s="11" t="s">
        <v>542</v>
      </c>
      <c r="C56" s="27">
        <v>324902066</v>
      </c>
      <c r="D56" s="27">
        <v>539176105.89999998</v>
      </c>
      <c r="E56" s="27">
        <v>557153090.08000004</v>
      </c>
      <c r="F56" s="2">
        <f>IF(C56&gt;0,(+C56+(D56*2)+(E56*3))/6,IF(D56&gt;0,((D56*2)+(E56*3))/5,E56))</f>
        <v>512452258.00666666</v>
      </c>
      <c r="G56" s="9">
        <f t="shared" si="0"/>
        <v>4.2406739274754586E-2</v>
      </c>
      <c r="L56" s="58"/>
      <c r="O56" s="58"/>
      <c r="P56" s="10"/>
    </row>
    <row r="57" spans="1:16">
      <c r="A57" s="1" t="s">
        <v>84</v>
      </c>
      <c r="B57" s="1" t="s">
        <v>85</v>
      </c>
      <c r="C57" s="27">
        <v>23886655.780000001</v>
      </c>
      <c r="D57" s="27">
        <v>24344293</v>
      </c>
      <c r="E57" s="27">
        <v>24590746.52</v>
      </c>
      <c r="F57" s="2">
        <f t="shared" si="1"/>
        <v>24391246.890000001</v>
      </c>
      <c r="G57" s="9">
        <f t="shared" si="0"/>
        <v>2.0184382667642422E-3</v>
      </c>
    </row>
    <row r="58" spans="1:16">
      <c r="A58" s="1" t="s">
        <v>86</v>
      </c>
      <c r="B58" s="1" t="s">
        <v>87</v>
      </c>
      <c r="C58" s="27">
        <v>680481957</v>
      </c>
      <c r="D58" s="27">
        <v>693164800</v>
      </c>
      <c r="E58" s="27">
        <v>734068071</v>
      </c>
      <c r="F58" s="2">
        <f t="shared" si="1"/>
        <v>711502628.33333337</v>
      </c>
      <c r="G58" s="9">
        <f t="shared" si="0"/>
        <v>5.8878668171741685E-2</v>
      </c>
    </row>
    <row r="59" spans="1:16">
      <c r="A59" s="1" t="s">
        <v>88</v>
      </c>
      <c r="B59" s="11" t="s">
        <v>540</v>
      </c>
      <c r="C59" s="27">
        <v>3518739.36</v>
      </c>
      <c r="D59" s="27">
        <v>3695682.35</v>
      </c>
      <c r="E59" s="27">
        <v>6274441.8300000001</v>
      </c>
      <c r="F59" s="2">
        <f t="shared" si="1"/>
        <v>4955571.5916666677</v>
      </c>
      <c r="G59" s="9">
        <f t="shared" si="0"/>
        <v>4.1008626493837217E-4</v>
      </c>
    </row>
    <row r="60" spans="1:16">
      <c r="A60" s="1" t="s">
        <v>89</v>
      </c>
      <c r="B60" s="1" t="s">
        <v>90</v>
      </c>
      <c r="C60" s="27">
        <v>1520466</v>
      </c>
      <c r="D60" s="27">
        <v>1621437</v>
      </c>
      <c r="E60" s="27">
        <v>1557996</v>
      </c>
      <c r="F60" s="2">
        <f t="shared" si="1"/>
        <v>1572888</v>
      </c>
      <c r="G60" s="9">
        <f t="shared" si="0"/>
        <v>1.301605179453077E-4</v>
      </c>
    </row>
    <row r="61" spans="1:16">
      <c r="A61" s="1" t="s">
        <v>91</v>
      </c>
      <c r="B61" s="1" t="s">
        <v>92</v>
      </c>
      <c r="C61" s="27">
        <v>1638933.64</v>
      </c>
      <c r="D61" s="27">
        <v>1644583.43</v>
      </c>
      <c r="E61" s="27">
        <v>2864574.32</v>
      </c>
      <c r="F61" s="2">
        <f t="shared" si="1"/>
        <v>2253637.2433333332</v>
      </c>
      <c r="G61" s="9">
        <f t="shared" si="0"/>
        <v>1.8649426459678127E-4</v>
      </c>
    </row>
    <row r="62" spans="1:16">
      <c r="A62" s="1" t="s">
        <v>478</v>
      </c>
      <c r="B62" s="1" t="s">
        <v>479</v>
      </c>
      <c r="C62" s="27">
        <v>7184421</v>
      </c>
      <c r="D62" s="27">
        <v>7011252</v>
      </c>
      <c r="E62" s="27">
        <v>8514611</v>
      </c>
      <c r="F62" s="2">
        <f t="shared" si="1"/>
        <v>7791793</v>
      </c>
      <c r="G62" s="9">
        <f t="shared" si="0"/>
        <v>6.4479086406827625E-4</v>
      </c>
    </row>
    <row r="63" spans="1:16">
      <c r="A63" s="1" t="s">
        <v>93</v>
      </c>
      <c r="B63" s="1" t="s">
        <v>480</v>
      </c>
      <c r="C63" s="27">
        <v>4667702.84</v>
      </c>
      <c r="D63" s="27">
        <v>5152703</v>
      </c>
      <c r="E63" s="27">
        <v>5620961</v>
      </c>
      <c r="F63" s="2">
        <f t="shared" si="1"/>
        <v>5305998.6399999997</v>
      </c>
      <c r="G63" s="9">
        <f t="shared" si="0"/>
        <v>4.3908500236475718E-4</v>
      </c>
    </row>
    <row r="64" spans="1:16">
      <c r="A64" s="1" t="s">
        <v>94</v>
      </c>
      <c r="B64" s="1" t="s">
        <v>95</v>
      </c>
      <c r="C64" s="27">
        <v>18505076.98</v>
      </c>
      <c r="D64" s="27">
        <v>19550942.219999999</v>
      </c>
      <c r="E64" s="27">
        <v>20988269.949999999</v>
      </c>
      <c r="F64" s="2">
        <f t="shared" si="1"/>
        <v>20095295.211666666</v>
      </c>
      <c r="G64" s="9">
        <f t="shared" si="0"/>
        <v>1.6629372422031288E-3</v>
      </c>
    </row>
    <row r="65" spans="1:7">
      <c r="A65" s="1" t="s">
        <v>96</v>
      </c>
      <c r="B65" s="1" t="s">
        <v>97</v>
      </c>
      <c r="C65" s="27">
        <f>32216573.02+22135263.85</f>
        <v>54351836.870000005</v>
      </c>
      <c r="D65" s="27">
        <f>31824317.26+22716593.19</f>
        <v>54540910.450000003</v>
      </c>
      <c r="E65" s="27">
        <f>24614450.59+34131047.05</f>
        <v>58745497.640000001</v>
      </c>
      <c r="F65" s="2">
        <f t="shared" si="1"/>
        <v>56611691.781666674</v>
      </c>
      <c r="G65" s="9">
        <f t="shared" si="0"/>
        <v>4.6847627574638836E-3</v>
      </c>
    </row>
    <row r="66" spans="1:7">
      <c r="A66" s="1" t="s">
        <v>98</v>
      </c>
      <c r="B66" s="1" t="s">
        <v>99</v>
      </c>
      <c r="C66" s="27">
        <v>80694165</v>
      </c>
      <c r="D66" s="27">
        <v>84994364</v>
      </c>
      <c r="E66" s="27">
        <v>89165641</v>
      </c>
      <c r="F66" s="2">
        <f t="shared" si="1"/>
        <v>86363302.666666672</v>
      </c>
      <c r="G66" s="9">
        <f t="shared" si="0"/>
        <v>7.1467848992176862E-3</v>
      </c>
    </row>
    <row r="67" spans="1:7">
      <c r="A67" s="1" t="s">
        <v>100</v>
      </c>
      <c r="B67" s="1" t="s">
        <v>519</v>
      </c>
      <c r="C67" s="27">
        <v>61300524</v>
      </c>
      <c r="D67" s="27">
        <v>70710013</v>
      </c>
      <c r="E67" s="27">
        <v>78451334</v>
      </c>
      <c r="F67" s="2">
        <f t="shared" si="1"/>
        <v>73012425.333333328</v>
      </c>
      <c r="G67" s="9">
        <f t="shared" si="0"/>
        <v>6.0419655422571548E-3</v>
      </c>
    </row>
    <row r="68" spans="1:7">
      <c r="A68" s="1" t="s">
        <v>101</v>
      </c>
      <c r="B68" s="1" t="s">
        <v>102</v>
      </c>
      <c r="C68" s="27">
        <v>1825834</v>
      </c>
      <c r="D68" s="27">
        <v>2047721</v>
      </c>
      <c r="E68" s="27">
        <v>2205042</v>
      </c>
      <c r="F68" s="2">
        <f t="shared" si="1"/>
        <v>2089400.3333333333</v>
      </c>
      <c r="G68" s="9">
        <f t="shared" si="0"/>
        <v>1.7290323887127706E-4</v>
      </c>
    </row>
    <row r="69" spans="1:7">
      <c r="A69" s="1" t="s">
        <v>103</v>
      </c>
      <c r="B69" s="1" t="s">
        <v>104</v>
      </c>
      <c r="C69" s="27">
        <v>2963792.72</v>
      </c>
      <c r="D69" s="27">
        <v>3137655.2</v>
      </c>
      <c r="E69" s="27">
        <v>3244610.67</v>
      </c>
      <c r="F69" s="2">
        <f t="shared" si="1"/>
        <v>3162155.8550000004</v>
      </c>
      <c r="G69" s="9">
        <f t="shared" ref="G69:G132" si="2">+F69/$F$264</f>
        <v>2.6167651092168508E-4</v>
      </c>
    </row>
    <row r="70" spans="1:7">
      <c r="A70" s="1" t="s">
        <v>105</v>
      </c>
      <c r="B70" s="1" t="s">
        <v>106</v>
      </c>
      <c r="C70" s="27">
        <v>37393995</v>
      </c>
      <c r="D70" s="27">
        <v>36721657.490000002</v>
      </c>
      <c r="E70" s="27">
        <v>39577547</v>
      </c>
      <c r="F70" s="2">
        <f t="shared" ref="F70:F103" si="3">IF(C70&gt;0,(+C70+(D70*2)+(E70*3))/6,IF(D70&gt;0,((D70*2)+(E70*3))/5,E70))</f>
        <v>38261658.49666667</v>
      </c>
      <c r="G70" s="9">
        <f t="shared" si="2"/>
        <v>3.1662504179398769E-3</v>
      </c>
    </row>
    <row r="71" spans="1:7">
      <c r="A71" s="1" t="s">
        <v>107</v>
      </c>
      <c r="B71" s="1" t="s">
        <v>108</v>
      </c>
      <c r="C71" s="27">
        <v>1711501</v>
      </c>
      <c r="D71" s="27">
        <v>1822197</v>
      </c>
      <c r="E71" s="27">
        <v>1881801.96</v>
      </c>
      <c r="F71" s="2">
        <f t="shared" si="3"/>
        <v>1833550.1466666665</v>
      </c>
      <c r="G71" s="9">
        <f t="shared" si="2"/>
        <v>1.5173097942690656E-4</v>
      </c>
    </row>
    <row r="72" spans="1:7">
      <c r="A72" s="1" t="s">
        <v>109</v>
      </c>
      <c r="B72" s="1" t="s">
        <v>556</v>
      </c>
      <c r="C72" s="27">
        <v>2660673.67</v>
      </c>
      <c r="D72" s="27">
        <v>2675787.66</v>
      </c>
      <c r="E72" s="27">
        <v>2788385.92</v>
      </c>
      <c r="F72" s="2">
        <f t="shared" si="3"/>
        <v>2729567.7916666665</v>
      </c>
      <c r="G72" s="9">
        <f t="shared" si="2"/>
        <v>2.2587873868334113E-4</v>
      </c>
    </row>
    <row r="73" spans="1:7">
      <c r="A73" s="1" t="s">
        <v>110</v>
      </c>
      <c r="B73" s="1" t="s">
        <v>111</v>
      </c>
      <c r="C73" s="27">
        <v>4555837.05</v>
      </c>
      <c r="D73" s="27">
        <v>4883480.92</v>
      </c>
      <c r="E73" s="27">
        <v>5043061.0599999996</v>
      </c>
      <c r="F73" s="2">
        <f t="shared" si="3"/>
        <v>4908663.6783333337</v>
      </c>
      <c r="G73" s="9">
        <f t="shared" si="2"/>
        <v>4.0620451474687708E-4</v>
      </c>
    </row>
    <row r="74" spans="1:7">
      <c r="A74" s="1" t="s">
        <v>112</v>
      </c>
      <c r="B74" s="1" t="s">
        <v>113</v>
      </c>
      <c r="C74" s="27">
        <v>2518553</v>
      </c>
      <c r="D74" s="27">
        <v>2718471</v>
      </c>
      <c r="E74" s="27">
        <v>3022333</v>
      </c>
      <c r="F74" s="2">
        <f t="shared" si="3"/>
        <v>2837082.3333333335</v>
      </c>
      <c r="G74" s="9">
        <f t="shared" si="2"/>
        <v>2.3477584288274103E-4</v>
      </c>
    </row>
    <row r="75" spans="1:7">
      <c r="A75" s="1" t="s">
        <v>114</v>
      </c>
      <c r="B75" s="1" t="s">
        <v>115</v>
      </c>
      <c r="C75" s="27">
        <v>16113817.65</v>
      </c>
      <c r="D75" s="27">
        <v>19697661.030000001</v>
      </c>
      <c r="E75" s="27">
        <v>23596118.469999999</v>
      </c>
      <c r="F75" s="2">
        <f t="shared" si="3"/>
        <v>21049582.52</v>
      </c>
      <c r="G75" s="9">
        <f t="shared" si="2"/>
        <v>1.7419069656171929E-3</v>
      </c>
    </row>
    <row r="76" spans="1:7">
      <c r="A76" s="1" t="s">
        <v>116</v>
      </c>
      <c r="B76" s="1" t="s">
        <v>117</v>
      </c>
      <c r="C76" s="27">
        <v>987169.98</v>
      </c>
      <c r="D76" s="27">
        <v>1155484</v>
      </c>
      <c r="E76" s="27">
        <v>1348431.97</v>
      </c>
      <c r="F76" s="2">
        <f t="shared" si="3"/>
        <v>1223905.6483333334</v>
      </c>
      <c r="G76" s="9">
        <f t="shared" si="2"/>
        <v>1.0128133287510254E-4</v>
      </c>
    </row>
    <row r="77" spans="1:7">
      <c r="A77" s="1" t="s">
        <v>118</v>
      </c>
      <c r="B77" s="1" t="s">
        <v>119</v>
      </c>
      <c r="C77" s="27">
        <v>2239636</v>
      </c>
      <c r="D77" s="27">
        <v>2575528.2400000002</v>
      </c>
      <c r="E77" s="27">
        <v>2788244.47</v>
      </c>
      <c r="F77" s="2">
        <f t="shared" si="3"/>
        <v>2625904.3149999999</v>
      </c>
      <c r="G77" s="9">
        <f t="shared" si="2"/>
        <v>2.1730031999431519E-4</v>
      </c>
    </row>
    <row r="78" spans="1:7">
      <c r="A78" s="1" t="s">
        <v>120</v>
      </c>
      <c r="B78" s="1" t="s">
        <v>486</v>
      </c>
      <c r="C78" s="27">
        <v>1596308.24</v>
      </c>
      <c r="D78" s="27">
        <v>1812064.14</v>
      </c>
      <c r="E78" s="27">
        <v>1800067.63</v>
      </c>
      <c r="F78" s="2">
        <f t="shared" si="3"/>
        <v>1770106.5683333334</v>
      </c>
      <c r="G78" s="9">
        <f t="shared" si="2"/>
        <v>1.464808605270419E-4</v>
      </c>
    </row>
    <row r="79" spans="1:7">
      <c r="A79" s="1" t="s">
        <v>121</v>
      </c>
      <c r="B79" s="1" t="s">
        <v>122</v>
      </c>
      <c r="C79" s="27">
        <v>6883594</v>
      </c>
      <c r="D79" s="27">
        <v>6771023</v>
      </c>
      <c r="E79" s="27">
        <v>7758685</v>
      </c>
      <c r="F79" s="2">
        <f t="shared" si="3"/>
        <v>7283615.833333333</v>
      </c>
      <c r="G79" s="9">
        <f t="shared" si="2"/>
        <v>6.0273789957155917E-4</v>
      </c>
    </row>
    <row r="80" spans="1:7">
      <c r="A80" s="1" t="s">
        <v>471</v>
      </c>
      <c r="B80" s="1" t="s">
        <v>520</v>
      </c>
      <c r="C80" s="27">
        <v>327034.77</v>
      </c>
      <c r="D80" s="27">
        <v>389714</v>
      </c>
      <c r="E80" s="27">
        <v>403704.65</v>
      </c>
      <c r="F80" s="2">
        <f t="shared" si="3"/>
        <v>386262.78666666668</v>
      </c>
      <c r="G80" s="9">
        <f t="shared" si="2"/>
        <v>3.1964236726029588E-5</v>
      </c>
    </row>
    <row r="81" spans="1:10">
      <c r="A81" s="1" t="s">
        <v>123</v>
      </c>
      <c r="B81" s="1" t="s">
        <v>481</v>
      </c>
      <c r="C81" s="27">
        <v>11273371</v>
      </c>
      <c r="D81" s="27">
        <v>11494653.189999999</v>
      </c>
      <c r="E81" s="27">
        <v>15153657</v>
      </c>
      <c r="F81" s="2">
        <f t="shared" si="3"/>
        <v>13287274.729999999</v>
      </c>
      <c r="G81" s="9">
        <f t="shared" si="2"/>
        <v>1.0995560783338663E-3</v>
      </c>
    </row>
    <row r="82" spans="1:10">
      <c r="A82" s="1" t="s">
        <v>124</v>
      </c>
      <c r="B82" s="1" t="s">
        <v>125</v>
      </c>
      <c r="C82" s="27">
        <v>2726881</v>
      </c>
      <c r="D82" s="27">
        <v>2810605</v>
      </c>
      <c r="E82" s="27">
        <v>2960827.35</v>
      </c>
      <c r="F82" s="2">
        <f t="shared" si="3"/>
        <v>2871762.1750000003</v>
      </c>
      <c r="G82" s="9">
        <f t="shared" si="2"/>
        <v>2.376456887672507E-4</v>
      </c>
    </row>
    <row r="83" spans="1:10">
      <c r="A83" s="1" t="s">
        <v>126</v>
      </c>
      <c r="B83" s="1" t="s">
        <v>521</v>
      </c>
      <c r="C83" s="27">
        <v>7361104</v>
      </c>
      <c r="D83" s="27">
        <v>7931728</v>
      </c>
      <c r="E83" s="27">
        <v>8635638</v>
      </c>
      <c r="F83" s="2">
        <f t="shared" si="3"/>
        <v>8188579</v>
      </c>
      <c r="G83" s="9">
        <f t="shared" si="2"/>
        <v>6.7762592369963388E-4</v>
      </c>
    </row>
    <row r="84" spans="1:10">
      <c r="A84" s="1" t="s">
        <v>127</v>
      </c>
      <c r="B84" s="1" t="s">
        <v>128</v>
      </c>
      <c r="C84" s="27">
        <v>724538</v>
      </c>
      <c r="D84" s="27">
        <v>689537.94</v>
      </c>
      <c r="E84" s="27">
        <v>838399</v>
      </c>
      <c r="F84" s="2">
        <f t="shared" si="3"/>
        <v>769801.81333333335</v>
      </c>
      <c r="G84" s="9">
        <f t="shared" si="2"/>
        <v>6.3703075323038737E-5</v>
      </c>
    </row>
    <row r="85" spans="1:10">
      <c r="A85" s="1" t="s">
        <v>557</v>
      </c>
      <c r="B85" s="1" t="s">
        <v>558</v>
      </c>
      <c r="C85" s="27">
        <v>2863088</v>
      </c>
      <c r="D85" s="27">
        <v>3382027.57</v>
      </c>
      <c r="E85" s="27">
        <v>3207045</v>
      </c>
      <c r="F85" s="2">
        <f>IF(C85&gt;0,(+C85+(D85*2)+(E85*3))/6,IF(D85&gt;0,((D85*2)+(E85*3))/5,E85))</f>
        <v>3208046.3566666669</v>
      </c>
      <c r="G85" s="9">
        <f t="shared" si="2"/>
        <v>2.6547406768714026E-4</v>
      </c>
    </row>
    <row r="86" spans="1:10">
      <c r="A86" s="1" t="s">
        <v>129</v>
      </c>
      <c r="B86" s="1" t="s">
        <v>130</v>
      </c>
      <c r="C86" s="27">
        <v>498465.51</v>
      </c>
      <c r="D86" s="27">
        <v>570259.9</v>
      </c>
      <c r="E86" s="27">
        <v>850728.59</v>
      </c>
      <c r="F86" s="2">
        <f t="shared" si="3"/>
        <v>698528.51333333331</v>
      </c>
      <c r="G86" s="9">
        <f t="shared" si="2"/>
        <v>5.7805026864616197E-5</v>
      </c>
    </row>
    <row r="87" spans="1:10">
      <c r="A87" s="1" t="s">
        <v>131</v>
      </c>
      <c r="B87" s="1" t="s">
        <v>132</v>
      </c>
      <c r="C87" s="27">
        <v>346663.5</v>
      </c>
      <c r="D87" s="27">
        <v>326180</v>
      </c>
      <c r="E87" s="27">
        <v>364322.82</v>
      </c>
      <c r="F87" s="2">
        <f t="shared" si="3"/>
        <v>348665.32666666666</v>
      </c>
      <c r="G87" s="9">
        <f t="shared" si="2"/>
        <v>2.8852950437986198E-5</v>
      </c>
    </row>
    <row r="88" spans="1:10">
      <c r="A88" s="1" t="s">
        <v>133</v>
      </c>
      <c r="B88" s="1" t="s">
        <v>134</v>
      </c>
      <c r="C88" s="27">
        <v>5932893.1699999999</v>
      </c>
      <c r="D88" s="27">
        <v>6067996</v>
      </c>
      <c r="E88" s="27">
        <v>6918810.5</v>
      </c>
      <c r="F88" s="2">
        <f t="shared" si="3"/>
        <v>6470886.1116666673</v>
      </c>
      <c r="G88" s="9">
        <f t="shared" si="2"/>
        <v>5.3548242968325251E-4</v>
      </c>
      <c r="J88" s="27"/>
    </row>
    <row r="89" spans="1:10">
      <c r="A89" s="1" t="s">
        <v>135</v>
      </c>
      <c r="B89" s="1" t="s">
        <v>136</v>
      </c>
      <c r="C89" s="27">
        <v>1565865128.26</v>
      </c>
      <c r="D89" s="27">
        <v>1778143698.48</v>
      </c>
      <c r="E89" s="27">
        <v>2179942383.9099998</v>
      </c>
      <c r="F89" s="2">
        <f>IF(C89&gt;0,(+C89+(D89*2)+(E89*3))/6,IF(D89&gt;0,((D89*2)+(E89*3))/5,E89))</f>
        <v>1943663279.4916668</v>
      </c>
      <c r="G89" s="9">
        <f t="shared" si="2"/>
        <v>0.16084312371250256</v>
      </c>
      <c r="J89" s="27"/>
    </row>
    <row r="90" spans="1:10">
      <c r="A90" s="1" t="s">
        <v>137</v>
      </c>
      <c r="B90" s="1" t="s">
        <v>474</v>
      </c>
      <c r="C90" s="27">
        <v>653071633</v>
      </c>
      <c r="D90" s="27">
        <v>644808846.00999999</v>
      </c>
      <c r="E90" s="27">
        <v>675492258.11000001</v>
      </c>
      <c r="F90" s="2">
        <f t="shared" si="3"/>
        <v>661527683.22500002</v>
      </c>
      <c r="G90" s="9">
        <f t="shared" si="2"/>
        <v>5.4743113231028172E-2</v>
      </c>
      <c r="J90" s="3"/>
    </row>
    <row r="91" spans="1:10">
      <c r="A91" s="1" t="s">
        <v>138</v>
      </c>
      <c r="B91" s="1" t="s">
        <v>139</v>
      </c>
      <c r="C91" s="27">
        <v>1030121.82</v>
      </c>
      <c r="D91" s="27">
        <v>1032610.32</v>
      </c>
      <c r="E91" s="27">
        <v>1095604.25</v>
      </c>
      <c r="F91" s="2">
        <f t="shared" si="3"/>
        <v>1063692.5349999999</v>
      </c>
      <c r="G91" s="9">
        <f t="shared" si="2"/>
        <v>8.8023286648609004E-5</v>
      </c>
      <c r="J91" s="3"/>
    </row>
    <row r="92" spans="1:10">
      <c r="A92" s="1" t="s">
        <v>473</v>
      </c>
      <c r="B92" s="1" t="s">
        <v>477</v>
      </c>
      <c r="C92" s="27">
        <v>200262148.49000001</v>
      </c>
      <c r="D92" s="27">
        <v>217357830.83000001</v>
      </c>
      <c r="E92" s="27">
        <v>239929657.21000001</v>
      </c>
      <c r="F92" s="2">
        <f t="shared" si="3"/>
        <v>225794463.63000003</v>
      </c>
      <c r="G92" s="9">
        <f t="shared" si="2"/>
        <v>1.8685071241730973E-2</v>
      </c>
      <c r="J92" s="3"/>
    </row>
    <row r="93" spans="1:10">
      <c r="A93" s="1" t="s">
        <v>493</v>
      </c>
      <c r="B93" s="1" t="s">
        <v>531</v>
      </c>
      <c r="C93" s="27">
        <v>4155821</v>
      </c>
      <c r="D93" s="27">
        <v>4433338.38</v>
      </c>
      <c r="E93" s="27">
        <v>5432717.1699999999</v>
      </c>
      <c r="F93" s="2">
        <f t="shared" si="3"/>
        <v>4886774.8783333329</v>
      </c>
      <c r="G93" s="9">
        <f t="shared" si="2"/>
        <v>4.0439316038140327E-4</v>
      </c>
      <c r="J93" s="3"/>
    </row>
    <row r="94" spans="1:10">
      <c r="A94" s="1" t="s">
        <v>140</v>
      </c>
      <c r="B94" s="1" t="s">
        <v>141</v>
      </c>
      <c r="C94" s="27">
        <v>38419872.079999998</v>
      </c>
      <c r="D94" s="27">
        <v>39661178.350000001</v>
      </c>
      <c r="E94" s="27">
        <v>43363134</v>
      </c>
      <c r="F94" s="2">
        <f t="shared" si="3"/>
        <v>41305271.796666667</v>
      </c>
      <c r="G94" s="9">
        <f t="shared" si="2"/>
        <v>3.4181172282615442E-3</v>
      </c>
    </row>
    <row r="95" spans="1:10">
      <c r="A95" s="1" t="s">
        <v>142</v>
      </c>
      <c r="B95" s="1" t="s">
        <v>143</v>
      </c>
      <c r="C95" s="27">
        <v>10817555.859999999</v>
      </c>
      <c r="D95" s="27">
        <v>9775642</v>
      </c>
      <c r="E95" s="27">
        <v>11740802</v>
      </c>
      <c r="F95" s="2">
        <f t="shared" si="3"/>
        <v>10931874.310000001</v>
      </c>
      <c r="G95" s="9">
        <f t="shared" si="2"/>
        <v>9.0464064974912599E-4</v>
      </c>
    </row>
    <row r="96" spans="1:10">
      <c r="A96" s="1" t="s">
        <v>144</v>
      </c>
      <c r="B96" s="1" t="s">
        <v>145</v>
      </c>
      <c r="C96" s="27">
        <v>1086815.06</v>
      </c>
      <c r="D96" s="27">
        <v>1062825.57</v>
      </c>
      <c r="E96" s="27">
        <v>1520625.48</v>
      </c>
      <c r="F96" s="2">
        <f t="shared" si="3"/>
        <v>1295723.7733333332</v>
      </c>
      <c r="G96" s="9">
        <f t="shared" si="2"/>
        <v>1.0722446700026646E-4</v>
      </c>
    </row>
    <row r="97" spans="1:7">
      <c r="A97" s="1" t="s">
        <v>146</v>
      </c>
      <c r="B97" s="1" t="s">
        <v>147</v>
      </c>
      <c r="C97" s="27">
        <v>27231529</v>
      </c>
      <c r="D97" s="27">
        <v>31016102</v>
      </c>
      <c r="E97" s="27">
        <v>35833943</v>
      </c>
      <c r="F97" s="2">
        <f t="shared" si="3"/>
        <v>32794260.333333332</v>
      </c>
      <c r="G97" s="9">
        <f t="shared" si="2"/>
        <v>2.7138091908768618E-3</v>
      </c>
    </row>
    <row r="98" spans="1:7">
      <c r="A98" s="1" t="s">
        <v>148</v>
      </c>
      <c r="B98" s="1" t="s">
        <v>468</v>
      </c>
      <c r="C98" s="27">
        <v>171868362</v>
      </c>
      <c r="D98" s="27">
        <v>178466137</v>
      </c>
      <c r="E98" s="27">
        <v>205767689</v>
      </c>
      <c r="F98" s="2">
        <f t="shared" si="3"/>
        <v>191017283.83333334</v>
      </c>
      <c r="G98" s="9">
        <f t="shared" si="2"/>
        <v>1.5807170377199468E-2</v>
      </c>
    </row>
    <row r="99" spans="1:7">
      <c r="A99" s="1" t="s">
        <v>149</v>
      </c>
      <c r="B99" s="1" t="s">
        <v>522</v>
      </c>
      <c r="C99" s="27">
        <v>4285456.67</v>
      </c>
      <c r="D99" s="27">
        <v>4622292.3899999997</v>
      </c>
      <c r="E99" s="27">
        <v>5096237.2699999996</v>
      </c>
      <c r="F99" s="2">
        <f t="shared" si="3"/>
        <v>4803125.543333333</v>
      </c>
      <c r="G99" s="9">
        <f t="shared" si="2"/>
        <v>3.9747096327049611E-4</v>
      </c>
    </row>
    <row r="100" spans="1:7">
      <c r="A100" s="1" t="s">
        <v>496</v>
      </c>
      <c r="B100" s="1" t="s">
        <v>497</v>
      </c>
      <c r="C100" s="27">
        <v>43558255</v>
      </c>
      <c r="D100" s="27">
        <v>45162497</v>
      </c>
      <c r="E100" s="27">
        <v>51798075</v>
      </c>
      <c r="F100" s="2">
        <f t="shared" si="3"/>
        <v>48212912.333333336</v>
      </c>
      <c r="G100" s="9">
        <f t="shared" si="2"/>
        <v>3.9897422073017158E-3</v>
      </c>
    </row>
    <row r="101" spans="1:7">
      <c r="A101" s="11" t="s">
        <v>536</v>
      </c>
      <c r="B101" s="1" t="s">
        <v>537</v>
      </c>
      <c r="C101" s="27">
        <v>101030667</v>
      </c>
      <c r="D101" s="27">
        <v>115461514</v>
      </c>
      <c r="E101" s="27">
        <v>128788467</v>
      </c>
      <c r="F101" s="2">
        <f t="shared" si="3"/>
        <v>119719849.33333333</v>
      </c>
      <c r="G101" s="9">
        <f t="shared" si="2"/>
        <v>9.9071247269741178E-3</v>
      </c>
    </row>
    <row r="102" spans="1:7">
      <c r="A102" s="1" t="s">
        <v>150</v>
      </c>
      <c r="B102" s="1" t="s">
        <v>151</v>
      </c>
      <c r="C102" s="27">
        <v>1322310576</v>
      </c>
      <c r="D102" s="27">
        <v>1445279352</v>
      </c>
      <c r="E102" s="27">
        <v>1589011474</v>
      </c>
      <c r="F102" s="2">
        <f t="shared" si="3"/>
        <v>1496650617</v>
      </c>
      <c r="G102" s="9">
        <f t="shared" si="2"/>
        <v>0.12385167888106741</v>
      </c>
    </row>
    <row r="103" spans="1:7">
      <c r="A103" s="1" t="s">
        <v>499</v>
      </c>
      <c r="B103" s="1" t="s">
        <v>498</v>
      </c>
      <c r="C103" s="27">
        <v>48634235</v>
      </c>
      <c r="D103" s="27">
        <v>53883322</v>
      </c>
      <c r="E103" s="27">
        <v>61650323</v>
      </c>
      <c r="F103" s="2">
        <f t="shared" si="3"/>
        <v>56891974.666666664</v>
      </c>
      <c r="G103" s="9">
        <f t="shared" si="2"/>
        <v>4.7079568853883157E-3</v>
      </c>
    </row>
    <row r="104" spans="1:7">
      <c r="A104" s="1" t="s">
        <v>152</v>
      </c>
      <c r="B104" s="1" t="s">
        <v>153</v>
      </c>
      <c r="C104" s="27">
        <v>100303696</v>
      </c>
      <c r="D104" s="27">
        <v>103191857</v>
      </c>
      <c r="E104" s="27">
        <v>114285966</v>
      </c>
      <c r="F104" s="2">
        <f>IF(C104&gt;0,(+C104+(D104*2)+(E104*3))/6,IF(D104&gt;0,((D104*2)+(E104*3))/5,E104))</f>
        <v>108257551.33333333</v>
      </c>
      <c r="G104" s="9">
        <f t="shared" si="2"/>
        <v>8.9585901558390697E-3</v>
      </c>
    </row>
    <row r="105" spans="1:7">
      <c r="A105" s="1" t="s">
        <v>565</v>
      </c>
      <c r="B105" s="1" t="s">
        <v>566</v>
      </c>
      <c r="C105" s="27">
        <v>0</v>
      </c>
      <c r="D105" s="27">
        <v>9765638.6699999999</v>
      </c>
      <c r="E105" s="27">
        <v>15455192</v>
      </c>
      <c r="F105" s="2">
        <f t="shared" ref="F105:F139" si="4">IF(C105&gt;0,(+C105+(D105*2)+(E105*3))/6,IF(D105&gt;0,((D105*2)+(E105*3))/5,E105))</f>
        <v>13179370.668000001</v>
      </c>
      <c r="G105" s="9">
        <f t="shared" si="2"/>
        <v>1.0906267403273952E-3</v>
      </c>
    </row>
    <row r="106" spans="1:7">
      <c r="A106" s="1" t="s">
        <v>154</v>
      </c>
      <c r="B106" s="1" t="s">
        <v>155</v>
      </c>
      <c r="C106" s="27">
        <v>90778811.269999996</v>
      </c>
      <c r="D106" s="27">
        <v>88086939.799999997</v>
      </c>
      <c r="E106" s="27">
        <v>86687796.340000004</v>
      </c>
      <c r="F106" s="2">
        <f t="shared" si="4"/>
        <v>87836013.314999998</v>
      </c>
      <c r="G106" s="9">
        <f t="shared" si="2"/>
        <v>7.2686554842629246E-3</v>
      </c>
    </row>
    <row r="107" spans="1:7">
      <c r="A107" s="1" t="s">
        <v>156</v>
      </c>
      <c r="B107" s="1" t="s">
        <v>157</v>
      </c>
      <c r="C107" s="27">
        <v>96123440</v>
      </c>
      <c r="D107" s="27">
        <v>109057051</v>
      </c>
      <c r="E107" s="27">
        <v>121736251.19</v>
      </c>
      <c r="F107" s="2">
        <f t="shared" si="4"/>
        <v>113241049.26166666</v>
      </c>
      <c r="G107" s="9">
        <f t="shared" si="2"/>
        <v>9.3709873967940723E-3</v>
      </c>
    </row>
    <row r="108" spans="1:7">
      <c r="A108" s="1" t="s">
        <v>158</v>
      </c>
      <c r="B108" s="1" t="s">
        <v>159</v>
      </c>
      <c r="C108" s="27">
        <v>541700407</v>
      </c>
      <c r="D108" s="27">
        <v>573138348.65999997</v>
      </c>
      <c r="E108" s="27">
        <v>620402430</v>
      </c>
      <c r="F108" s="2">
        <f t="shared" si="4"/>
        <v>591530732.38666666</v>
      </c>
      <c r="G108" s="9">
        <f t="shared" si="2"/>
        <v>4.8950685940776284E-2</v>
      </c>
    </row>
    <row r="109" spans="1:7">
      <c r="A109" s="1" t="s">
        <v>160</v>
      </c>
      <c r="B109" s="1" t="s">
        <v>161</v>
      </c>
      <c r="C109" s="27">
        <v>119810778.95999999</v>
      </c>
      <c r="D109" s="27">
        <v>129902987.75</v>
      </c>
      <c r="E109" s="27">
        <v>133784561.89</v>
      </c>
      <c r="F109" s="2">
        <f t="shared" si="4"/>
        <v>130161740.02166666</v>
      </c>
      <c r="G109" s="9">
        <f t="shared" si="2"/>
        <v>1.0771217974758928E-2</v>
      </c>
    </row>
    <row r="110" spans="1:7">
      <c r="A110" s="1" t="s">
        <v>162</v>
      </c>
      <c r="B110" s="1" t="s">
        <v>163</v>
      </c>
      <c r="C110" s="27">
        <v>461593406</v>
      </c>
      <c r="D110" s="27">
        <v>500780557</v>
      </c>
      <c r="E110" s="27">
        <v>545313367</v>
      </c>
      <c r="F110" s="2">
        <f t="shared" si="4"/>
        <v>516515770.16666669</v>
      </c>
      <c r="G110" s="9">
        <f t="shared" si="2"/>
        <v>4.2743005332746414E-2</v>
      </c>
    </row>
    <row r="111" spans="1:7">
      <c r="A111" s="1" t="s">
        <v>164</v>
      </c>
      <c r="B111" s="1" t="s">
        <v>165</v>
      </c>
      <c r="C111" s="27">
        <v>89592348</v>
      </c>
      <c r="D111" s="27">
        <v>92491478</v>
      </c>
      <c r="E111" s="27">
        <v>98144082</v>
      </c>
      <c r="F111" s="2">
        <f t="shared" si="4"/>
        <v>94834591.666666672</v>
      </c>
      <c r="G111" s="9">
        <f t="shared" si="2"/>
        <v>7.8478058008358484E-3</v>
      </c>
    </row>
    <row r="112" spans="1:7">
      <c r="A112" s="1" t="s">
        <v>166</v>
      </c>
      <c r="B112" s="1" t="s">
        <v>167</v>
      </c>
      <c r="C112" s="27">
        <v>44247380.840000004</v>
      </c>
      <c r="D112" s="27">
        <v>44080755.219999999</v>
      </c>
      <c r="E112" s="27">
        <v>42136406.530000001</v>
      </c>
      <c r="F112" s="2">
        <f t="shared" si="4"/>
        <v>43136351.811666667</v>
      </c>
      <c r="G112" s="9">
        <f t="shared" si="2"/>
        <v>3.5696437979548102E-3</v>
      </c>
    </row>
    <row r="113" spans="1:7">
      <c r="A113" s="1" t="s">
        <v>168</v>
      </c>
      <c r="B113" s="1" t="s">
        <v>169</v>
      </c>
      <c r="C113" s="27">
        <v>54584672.079999998</v>
      </c>
      <c r="D113" s="27">
        <v>55985400.890000001</v>
      </c>
      <c r="E113" s="27">
        <v>59566482.259999998</v>
      </c>
      <c r="F113" s="2">
        <f t="shared" si="4"/>
        <v>57542486.773333333</v>
      </c>
      <c r="G113" s="9">
        <f t="shared" si="2"/>
        <v>4.76178843139377E-3</v>
      </c>
    </row>
    <row r="114" spans="1:7">
      <c r="A114" s="1" t="s">
        <v>170</v>
      </c>
      <c r="B114" s="1" t="s">
        <v>523</v>
      </c>
      <c r="C114" s="27">
        <v>377795494.20999998</v>
      </c>
      <c r="D114" s="27">
        <v>406418431.20999998</v>
      </c>
      <c r="E114" s="27">
        <v>435194194</v>
      </c>
      <c r="F114" s="2">
        <f t="shared" si="4"/>
        <v>416035823.10500002</v>
      </c>
      <c r="G114" s="9">
        <f t="shared" si="2"/>
        <v>3.4428031887298531E-2</v>
      </c>
    </row>
    <row r="115" spans="1:7">
      <c r="A115" s="1" t="s">
        <v>171</v>
      </c>
      <c r="B115" s="1" t="s">
        <v>172</v>
      </c>
      <c r="C115" s="27">
        <v>343742312.43000001</v>
      </c>
      <c r="D115" s="27">
        <v>376577052.27999997</v>
      </c>
      <c r="E115" s="27">
        <v>407205535.44</v>
      </c>
      <c r="F115" s="2">
        <f t="shared" si="4"/>
        <v>386418837.2183333</v>
      </c>
      <c r="G115" s="9">
        <f t="shared" si="2"/>
        <v>3.1977150309597253E-2</v>
      </c>
    </row>
    <row r="116" spans="1:7">
      <c r="A116" s="1" t="s">
        <v>173</v>
      </c>
      <c r="B116" s="1" t="s">
        <v>174</v>
      </c>
      <c r="C116" s="27">
        <v>183596514</v>
      </c>
      <c r="D116" s="27">
        <v>192800873.53999999</v>
      </c>
      <c r="E116" s="27">
        <v>204067645.56</v>
      </c>
      <c r="F116" s="2">
        <f t="shared" si="4"/>
        <v>196900199.62666667</v>
      </c>
      <c r="G116" s="9">
        <f t="shared" si="2"/>
        <v>1.6293996754340689E-2</v>
      </c>
    </row>
    <row r="117" spans="1:7">
      <c r="A117" s="1" t="s">
        <v>175</v>
      </c>
      <c r="B117" s="11" t="s">
        <v>541</v>
      </c>
      <c r="C117" s="27">
        <v>300551350</v>
      </c>
      <c r="D117" s="27">
        <v>328468720.70999998</v>
      </c>
      <c r="E117" s="27">
        <v>364200869.38999999</v>
      </c>
      <c r="F117" s="2">
        <f t="shared" si="4"/>
        <v>341681899.93166667</v>
      </c>
      <c r="G117" s="9">
        <f t="shared" si="2"/>
        <v>2.8275053956570671E-2</v>
      </c>
    </row>
    <row r="118" spans="1:7">
      <c r="A118" s="1" t="s">
        <v>176</v>
      </c>
      <c r="B118" s="1" t="s">
        <v>177</v>
      </c>
      <c r="C118" s="27">
        <v>22616192</v>
      </c>
      <c r="D118" s="27">
        <v>23458637</v>
      </c>
      <c r="E118" s="27">
        <v>24973917.309999999</v>
      </c>
      <c r="F118" s="2">
        <f t="shared" si="4"/>
        <v>24075869.655000001</v>
      </c>
      <c r="G118" s="9">
        <f t="shared" si="2"/>
        <v>1.9923399913271108E-3</v>
      </c>
    </row>
    <row r="119" spans="1:7">
      <c r="A119" s="1" t="s">
        <v>178</v>
      </c>
      <c r="B119" s="1" t="s">
        <v>524</v>
      </c>
      <c r="C119" s="27">
        <v>7845533.21</v>
      </c>
      <c r="D119" s="27">
        <v>8644661.4600000009</v>
      </c>
      <c r="E119" s="27">
        <v>9404881.5199999996</v>
      </c>
      <c r="F119" s="2">
        <f t="shared" si="4"/>
        <v>8891583.4483333323</v>
      </c>
      <c r="G119" s="9">
        <f t="shared" si="2"/>
        <v>7.3580134567050655E-4</v>
      </c>
    </row>
    <row r="120" spans="1:7">
      <c r="A120" s="1" t="s">
        <v>179</v>
      </c>
      <c r="B120" s="1" t="s">
        <v>180</v>
      </c>
      <c r="C120" s="27">
        <v>70932815</v>
      </c>
      <c r="D120" s="27">
        <v>74770649</v>
      </c>
      <c r="E120" s="27">
        <v>78027702</v>
      </c>
      <c r="F120" s="2">
        <f t="shared" si="4"/>
        <v>75759536.5</v>
      </c>
      <c r="G120" s="9">
        <f t="shared" si="2"/>
        <v>6.2692960402370946E-3</v>
      </c>
    </row>
    <row r="121" spans="1:7">
      <c r="A121" s="1" t="s">
        <v>181</v>
      </c>
      <c r="B121" s="1" t="s">
        <v>182</v>
      </c>
      <c r="C121" s="27">
        <v>119921596</v>
      </c>
      <c r="D121" s="27">
        <v>122889810</v>
      </c>
      <c r="E121" s="27">
        <v>130361376</v>
      </c>
      <c r="F121" s="2">
        <f t="shared" si="4"/>
        <v>126130890.66666667</v>
      </c>
      <c r="G121" s="9">
        <f t="shared" si="2"/>
        <v>1.0437654847691833E-2</v>
      </c>
    </row>
    <row r="122" spans="1:7">
      <c r="A122" s="1" t="s">
        <v>469</v>
      </c>
      <c r="B122" s="1" t="s">
        <v>470</v>
      </c>
      <c r="C122" s="27">
        <v>34060823</v>
      </c>
      <c r="D122" s="27">
        <v>32973435</v>
      </c>
      <c r="E122" s="27">
        <v>35416687</v>
      </c>
      <c r="F122" s="2">
        <f t="shared" si="4"/>
        <v>34376292.333333336</v>
      </c>
      <c r="G122" s="9">
        <f t="shared" si="2"/>
        <v>2.844726398285178E-3</v>
      </c>
    </row>
    <row r="123" spans="1:7">
      <c r="A123" s="1" t="s">
        <v>183</v>
      </c>
      <c r="B123" s="1" t="s">
        <v>487</v>
      </c>
      <c r="C123" s="27">
        <v>21763818.559999999</v>
      </c>
      <c r="D123" s="27">
        <v>23292044.09</v>
      </c>
      <c r="E123" s="27">
        <v>26573897.350000001</v>
      </c>
      <c r="F123" s="2">
        <f t="shared" si="4"/>
        <v>24678266.465000004</v>
      </c>
      <c r="G123" s="9">
        <f t="shared" si="2"/>
        <v>2.0421898730721565E-3</v>
      </c>
    </row>
    <row r="124" spans="1:7">
      <c r="A124" s="1" t="s">
        <v>184</v>
      </c>
      <c r="B124" s="1" t="s">
        <v>185</v>
      </c>
      <c r="C124" s="27">
        <v>26896690.18</v>
      </c>
      <c r="D124" s="27">
        <v>30388340</v>
      </c>
      <c r="E124" s="27">
        <v>31105085.050000001</v>
      </c>
      <c r="F124" s="2">
        <f t="shared" si="4"/>
        <v>30164770.888333336</v>
      </c>
      <c r="G124" s="9">
        <f t="shared" si="2"/>
        <v>2.4962121921757981E-3</v>
      </c>
    </row>
    <row r="125" spans="1:7">
      <c r="A125" s="1" t="s">
        <v>534</v>
      </c>
      <c r="B125" s="1" t="s">
        <v>535</v>
      </c>
      <c r="C125" s="27">
        <v>33392091.109999999</v>
      </c>
      <c r="D125" s="27">
        <v>34549422.409999996</v>
      </c>
      <c r="E125" s="27">
        <v>36909382.829999998</v>
      </c>
      <c r="F125" s="2">
        <f t="shared" si="4"/>
        <v>35536514.07</v>
      </c>
      <c r="G125" s="9">
        <f t="shared" si="2"/>
        <v>2.9407377240604003E-3</v>
      </c>
    </row>
    <row r="126" spans="1:7">
      <c r="A126" s="11" t="s">
        <v>551</v>
      </c>
      <c r="B126" s="11" t="s">
        <v>546</v>
      </c>
      <c r="C126" s="27">
        <v>152204645</v>
      </c>
      <c r="D126" s="27">
        <v>155343148</v>
      </c>
      <c r="E126" s="27">
        <v>161603817</v>
      </c>
      <c r="F126" s="2">
        <f t="shared" si="4"/>
        <v>157950398.66666666</v>
      </c>
      <c r="G126" s="9">
        <f t="shared" si="2"/>
        <v>1.3070800781823735E-2</v>
      </c>
    </row>
    <row r="127" spans="1:7">
      <c r="A127" s="1" t="s">
        <v>186</v>
      </c>
      <c r="B127" s="1" t="s">
        <v>187</v>
      </c>
      <c r="C127" s="27">
        <v>23765187</v>
      </c>
      <c r="D127" s="27">
        <v>29266402</v>
      </c>
      <c r="E127" s="27">
        <v>34647314</v>
      </c>
      <c r="F127" s="2">
        <f t="shared" si="4"/>
        <v>31039988.833333332</v>
      </c>
      <c r="G127" s="9">
        <f t="shared" si="2"/>
        <v>2.56863872288633E-3</v>
      </c>
    </row>
    <row r="128" spans="1:7">
      <c r="A128" s="1" t="s">
        <v>188</v>
      </c>
      <c r="B128" s="1" t="s">
        <v>525</v>
      </c>
      <c r="C128" s="27">
        <v>8859519</v>
      </c>
      <c r="D128" s="27">
        <v>9275171</v>
      </c>
      <c r="E128" s="27">
        <v>8863501.3599999994</v>
      </c>
      <c r="F128" s="2">
        <f t="shared" si="4"/>
        <v>9000060.8466666657</v>
      </c>
      <c r="G128" s="9">
        <f t="shared" si="2"/>
        <v>7.44778128729711E-4</v>
      </c>
    </row>
    <row r="129" spans="1:7">
      <c r="A129" s="1" t="s">
        <v>189</v>
      </c>
      <c r="B129" s="1" t="s">
        <v>190</v>
      </c>
      <c r="C129" s="27">
        <v>86745197</v>
      </c>
      <c r="D129" s="27">
        <v>89836690</v>
      </c>
      <c r="E129" s="27">
        <v>94005940</v>
      </c>
      <c r="F129" s="2">
        <f t="shared" si="4"/>
        <v>91406066.166666672</v>
      </c>
      <c r="G129" s="9">
        <f t="shared" si="2"/>
        <v>7.5640865183003499E-3</v>
      </c>
    </row>
    <row r="130" spans="1:7">
      <c r="A130" s="1" t="s">
        <v>191</v>
      </c>
      <c r="B130" s="1" t="s">
        <v>526</v>
      </c>
      <c r="C130" s="27">
        <v>9297048</v>
      </c>
      <c r="D130" s="27">
        <v>9973486</v>
      </c>
      <c r="E130" s="27">
        <v>10560442.82</v>
      </c>
      <c r="F130" s="2">
        <f t="shared" si="4"/>
        <v>10154224.743333334</v>
      </c>
      <c r="G130" s="9">
        <f t="shared" si="2"/>
        <v>8.402881527008445E-4</v>
      </c>
    </row>
    <row r="131" spans="1:7">
      <c r="A131" s="1" t="s">
        <v>192</v>
      </c>
      <c r="B131" s="1" t="s">
        <v>527</v>
      </c>
      <c r="C131" s="27">
        <v>5297937</v>
      </c>
      <c r="D131" s="27">
        <v>10798645</v>
      </c>
      <c r="E131" s="27">
        <v>12246238.210000001</v>
      </c>
      <c r="F131" s="2">
        <f t="shared" si="4"/>
        <v>10605656.938333334</v>
      </c>
      <c r="G131" s="9">
        <f t="shared" si="2"/>
        <v>8.7764532518762501E-4</v>
      </c>
    </row>
    <row r="132" spans="1:7">
      <c r="A132" s="1" t="s">
        <v>193</v>
      </c>
      <c r="B132" s="1" t="s">
        <v>488</v>
      </c>
      <c r="C132" s="27">
        <v>12731227</v>
      </c>
      <c r="D132" s="27">
        <v>12855173</v>
      </c>
      <c r="E132" s="27">
        <v>14247955</v>
      </c>
      <c r="F132" s="2">
        <f t="shared" si="4"/>
        <v>13530906.333333334</v>
      </c>
      <c r="G132" s="9">
        <f t="shared" si="2"/>
        <v>1.1197172186551815E-3</v>
      </c>
    </row>
    <row r="133" spans="1:7">
      <c r="A133" s="1" t="s">
        <v>194</v>
      </c>
      <c r="B133" s="1" t="s">
        <v>528</v>
      </c>
      <c r="C133" s="27">
        <v>177379685</v>
      </c>
      <c r="D133" s="27">
        <v>190160284</v>
      </c>
      <c r="E133" s="27">
        <v>207768603</v>
      </c>
      <c r="F133" s="2">
        <f t="shared" si="4"/>
        <v>196834343.66666666</v>
      </c>
      <c r="G133" s="9">
        <f t="shared" ref="G133:G196" si="5">+F133/$F$264</f>
        <v>1.6288547004667864E-2</v>
      </c>
    </row>
    <row r="134" spans="1:7">
      <c r="A134" s="1" t="s">
        <v>195</v>
      </c>
      <c r="B134" s="1" t="s">
        <v>196</v>
      </c>
      <c r="C134" s="27">
        <v>16890434.41</v>
      </c>
      <c r="D134" s="27">
        <v>18106260.82</v>
      </c>
      <c r="E134" s="27">
        <v>21189128.91</v>
      </c>
      <c r="F134" s="2">
        <f t="shared" si="4"/>
        <v>19445057.129999999</v>
      </c>
      <c r="G134" s="9">
        <f t="shared" si="5"/>
        <v>1.6091283724695581E-3</v>
      </c>
    </row>
    <row r="135" spans="1:7">
      <c r="A135" s="1" t="s">
        <v>197</v>
      </c>
      <c r="B135" s="1" t="s">
        <v>198</v>
      </c>
      <c r="C135" s="27">
        <v>11592083.640000001</v>
      </c>
      <c r="D135" s="27">
        <v>12774535.050000001</v>
      </c>
      <c r="E135" s="27">
        <v>15357760.08</v>
      </c>
      <c r="F135" s="2">
        <f t="shared" si="4"/>
        <v>13869072.33</v>
      </c>
      <c r="G135" s="9">
        <f t="shared" si="5"/>
        <v>1.1477013225949563E-3</v>
      </c>
    </row>
    <row r="136" spans="1:7">
      <c r="A136" s="1" t="s">
        <v>199</v>
      </c>
      <c r="B136" s="1" t="s">
        <v>200</v>
      </c>
      <c r="C136" s="27">
        <v>933813</v>
      </c>
      <c r="D136" s="27">
        <v>946070.79</v>
      </c>
      <c r="E136" s="27">
        <v>1051491.46</v>
      </c>
      <c r="F136" s="2">
        <f t="shared" si="4"/>
        <v>996738.16</v>
      </c>
      <c r="G136" s="9">
        <f t="shared" si="5"/>
        <v>8.2482640316063817E-5</v>
      </c>
    </row>
    <row r="137" spans="1:7">
      <c r="A137" s="1" t="s">
        <v>201</v>
      </c>
      <c r="B137" s="1" t="s">
        <v>450</v>
      </c>
      <c r="C137" s="27">
        <v>754767</v>
      </c>
      <c r="D137" s="27">
        <v>884093.7</v>
      </c>
      <c r="E137" s="27">
        <v>861423.59</v>
      </c>
      <c r="F137" s="2">
        <f t="shared" si="4"/>
        <v>851204.19499999995</v>
      </c>
      <c r="G137" s="9">
        <f t="shared" si="5"/>
        <v>7.0439331280052159E-5</v>
      </c>
    </row>
    <row r="138" spans="1:7">
      <c r="A138" s="1" t="s">
        <v>567</v>
      </c>
      <c r="B138" s="1" t="s">
        <v>569</v>
      </c>
      <c r="C138" s="27">
        <v>206169.17</v>
      </c>
      <c r="D138" s="27">
        <v>452783.11</v>
      </c>
      <c r="E138" s="27">
        <v>854777.37</v>
      </c>
      <c r="F138" s="2">
        <f>IF(C138&gt;0,(+C138+(D138*2)+(E138*3))/6,IF(D138&gt;0,((D138*2)+(E138*3))/5,E138))</f>
        <v>612677.91666666663</v>
      </c>
      <c r="G138" s="9">
        <f t="shared" si="5"/>
        <v>5.0700669702474302E-5</v>
      </c>
    </row>
    <row r="139" spans="1:7">
      <c r="A139" s="1" t="s">
        <v>568</v>
      </c>
      <c r="B139" s="1" t="s">
        <v>570</v>
      </c>
      <c r="C139" s="27">
        <v>13043788.75</v>
      </c>
      <c r="D139" s="27">
        <v>14270255.869999999</v>
      </c>
      <c r="E139" s="27">
        <v>16868095.719999999</v>
      </c>
      <c r="F139" s="2">
        <f t="shared" si="4"/>
        <v>15364764.608333332</v>
      </c>
      <c r="G139" s="9">
        <f t="shared" si="5"/>
        <v>1.2714736964923119E-3</v>
      </c>
    </row>
    <row r="140" spans="1:7" outlineLevel="1">
      <c r="A140" s="1" t="s">
        <v>202</v>
      </c>
      <c r="B140" s="1" t="s">
        <v>203</v>
      </c>
      <c r="C140" s="27">
        <v>947118.68</v>
      </c>
      <c r="D140" s="27">
        <v>978825.81</v>
      </c>
      <c r="E140" s="27">
        <v>936339.59</v>
      </c>
      <c r="F140" s="2">
        <f t="shared" ref="F140:F203" si="6">IF(C140&gt;0,(+C140+(D140*2)+(E140*3))/6,IF(D140&gt;0,((D140*2)+(E140*3))/5,E140))</f>
        <v>952298.17833333334</v>
      </c>
      <c r="G140" s="9">
        <f t="shared" si="5"/>
        <v>7.8805117802564241E-5</v>
      </c>
    </row>
    <row r="141" spans="1:7" outlineLevel="1">
      <c r="A141" s="1" t="s">
        <v>204</v>
      </c>
      <c r="B141" s="1" t="s">
        <v>205</v>
      </c>
      <c r="C141" s="27">
        <v>214019.05</v>
      </c>
      <c r="D141" s="27">
        <v>239981.92</v>
      </c>
      <c r="E141" s="27">
        <v>242063.74</v>
      </c>
      <c r="F141" s="2">
        <f t="shared" si="6"/>
        <v>236695.68499999997</v>
      </c>
      <c r="G141" s="9">
        <f t="shared" si="5"/>
        <v>1.958717528204131E-5</v>
      </c>
    </row>
    <row r="142" spans="1:7" outlineLevel="1">
      <c r="A142" s="1" t="s">
        <v>206</v>
      </c>
      <c r="B142" s="1" t="s">
        <v>207</v>
      </c>
      <c r="C142" s="27">
        <v>973566.36</v>
      </c>
      <c r="D142" s="27">
        <v>1038506.29</v>
      </c>
      <c r="E142" s="27">
        <v>1034709.17</v>
      </c>
      <c r="F142" s="2">
        <f t="shared" si="6"/>
        <v>1025784.4083333333</v>
      </c>
      <c r="G142" s="9">
        <f t="shared" si="5"/>
        <v>8.4886291896745138E-5</v>
      </c>
    </row>
    <row r="143" spans="1:7" outlineLevel="1">
      <c r="A143" s="1" t="s">
        <v>491</v>
      </c>
      <c r="B143" s="1" t="s">
        <v>559</v>
      </c>
      <c r="C143" s="27">
        <v>926971.09</v>
      </c>
      <c r="D143" s="27">
        <v>1156642.07</v>
      </c>
      <c r="E143" s="27">
        <v>1032948.37</v>
      </c>
      <c r="F143" s="2">
        <f t="shared" si="6"/>
        <v>1056516.7233333334</v>
      </c>
      <c r="G143" s="9">
        <f t="shared" si="5"/>
        <v>8.7429469820448773E-5</v>
      </c>
    </row>
    <row r="144" spans="1:7" outlineLevel="1">
      <c r="A144" s="48" t="s">
        <v>595</v>
      </c>
      <c r="B144" s="48" t="s">
        <v>596</v>
      </c>
      <c r="C144" s="27">
        <v>186100.14</v>
      </c>
      <c r="D144" s="27">
        <v>193640.48</v>
      </c>
      <c r="E144" s="27">
        <v>232142.58</v>
      </c>
      <c r="F144" s="2">
        <f t="shared" si="6"/>
        <v>211634.80666666667</v>
      </c>
      <c r="G144" s="9">
        <f t="shared" si="5"/>
        <v>1.751332329510327E-5</v>
      </c>
    </row>
    <row r="145" spans="1:7" outlineLevel="1">
      <c r="A145" s="1" t="s">
        <v>208</v>
      </c>
      <c r="B145" s="1" t="s">
        <v>209</v>
      </c>
      <c r="C145" s="27">
        <v>1042012.8</v>
      </c>
      <c r="D145" s="27">
        <v>1171134.95</v>
      </c>
      <c r="E145" s="27">
        <v>1285886.45</v>
      </c>
      <c r="F145" s="2">
        <f t="shared" si="6"/>
        <v>1206990.3416666666</v>
      </c>
      <c r="G145" s="9">
        <f t="shared" si="5"/>
        <v>9.9881547844676309E-5</v>
      </c>
    </row>
    <row r="146" spans="1:7" outlineLevel="1">
      <c r="A146" s="1" t="s">
        <v>210</v>
      </c>
      <c r="B146" s="1" t="s">
        <v>211</v>
      </c>
      <c r="C146" s="27">
        <v>56969.67</v>
      </c>
      <c r="D146" s="27">
        <v>62511.89</v>
      </c>
      <c r="E146" s="27">
        <v>67350.73</v>
      </c>
      <c r="F146" s="2">
        <f t="shared" si="6"/>
        <v>64007.606666666667</v>
      </c>
      <c r="G146" s="9">
        <f t="shared" si="5"/>
        <v>5.2967936917141359E-6</v>
      </c>
    </row>
    <row r="147" spans="1:7" outlineLevel="1">
      <c r="A147" s="1" t="s">
        <v>212</v>
      </c>
      <c r="B147" s="1" t="s">
        <v>213</v>
      </c>
      <c r="C147" s="27">
        <v>2551727.77</v>
      </c>
      <c r="D147" s="27">
        <v>2840363.83</v>
      </c>
      <c r="E147" s="27">
        <v>3253097.08</v>
      </c>
      <c r="F147" s="2">
        <f t="shared" si="6"/>
        <v>2998624.4450000003</v>
      </c>
      <c r="G147" s="9">
        <f t="shared" si="5"/>
        <v>2.4814386713145555E-4</v>
      </c>
    </row>
    <row r="148" spans="1:7" outlineLevel="1">
      <c r="A148" s="1" t="s">
        <v>214</v>
      </c>
      <c r="B148" s="1" t="s">
        <v>215</v>
      </c>
      <c r="C148" s="27">
        <v>17319216.59</v>
      </c>
      <c r="D148" s="27">
        <v>20072314.899999999</v>
      </c>
      <c r="E148" s="27">
        <v>21445053.199999999</v>
      </c>
      <c r="F148" s="2">
        <f t="shared" si="6"/>
        <v>20299834.331666667</v>
      </c>
      <c r="G148" s="9">
        <f t="shared" si="5"/>
        <v>1.6798633792194184E-3</v>
      </c>
    </row>
    <row r="149" spans="1:7" outlineLevel="1">
      <c r="A149" s="1" t="s">
        <v>216</v>
      </c>
      <c r="B149" s="1" t="s">
        <v>217</v>
      </c>
      <c r="C149" s="27">
        <v>3088045.02</v>
      </c>
      <c r="D149" s="27">
        <v>3262435.59</v>
      </c>
      <c r="E149" s="27">
        <v>3555090.6</v>
      </c>
      <c r="F149" s="2">
        <f t="shared" si="6"/>
        <v>3379698</v>
      </c>
      <c r="G149" s="9">
        <f t="shared" si="5"/>
        <v>2.7967868162178143E-4</v>
      </c>
    </row>
    <row r="150" spans="1:7" outlineLevel="1">
      <c r="A150" s="1" t="s">
        <v>218</v>
      </c>
      <c r="B150" s="1" t="s">
        <v>219</v>
      </c>
      <c r="C150" s="27">
        <v>3821156.5</v>
      </c>
      <c r="D150" s="27">
        <v>3952167.1</v>
      </c>
      <c r="E150" s="27">
        <v>4435822.9000000004</v>
      </c>
      <c r="F150" s="2">
        <f t="shared" si="6"/>
        <v>4172159.9</v>
      </c>
      <c r="G150" s="9">
        <f t="shared" si="5"/>
        <v>3.4525693726104032E-4</v>
      </c>
    </row>
    <row r="151" spans="1:7" outlineLevel="1">
      <c r="A151" s="1" t="s">
        <v>220</v>
      </c>
      <c r="B151" s="1" t="s">
        <v>221</v>
      </c>
      <c r="C151" s="27">
        <v>2181037.36</v>
      </c>
      <c r="D151" s="27">
        <v>2329480.02</v>
      </c>
      <c r="E151" s="27">
        <v>2627112.0499999998</v>
      </c>
      <c r="F151" s="2">
        <f t="shared" si="6"/>
        <v>2453555.5916666668</v>
      </c>
      <c r="G151" s="9">
        <f t="shared" si="5"/>
        <v>2.0303802090100454E-4</v>
      </c>
    </row>
    <row r="152" spans="1:7" outlineLevel="1">
      <c r="A152" s="1" t="s">
        <v>222</v>
      </c>
      <c r="B152" s="1" t="s">
        <v>223</v>
      </c>
      <c r="C152" s="27">
        <v>452775.76</v>
      </c>
      <c r="D152" s="27">
        <v>534851.86</v>
      </c>
      <c r="E152" s="27">
        <v>618716.56999999995</v>
      </c>
      <c r="F152" s="2">
        <f t="shared" si="6"/>
        <v>563104.86499999999</v>
      </c>
      <c r="G152" s="9">
        <f t="shared" si="5"/>
        <v>4.659837247529549E-5</v>
      </c>
    </row>
    <row r="153" spans="1:7" outlineLevel="1">
      <c r="A153" s="1" t="s">
        <v>224</v>
      </c>
      <c r="B153" s="1" t="s">
        <v>225</v>
      </c>
      <c r="C153" s="27">
        <v>1886579.23</v>
      </c>
      <c r="D153" s="27">
        <v>1988410.35</v>
      </c>
      <c r="E153" s="27">
        <v>2202940.0699999998</v>
      </c>
      <c r="F153" s="2">
        <f t="shared" si="6"/>
        <v>2078703.3566666665</v>
      </c>
      <c r="G153" s="9">
        <f t="shared" si="5"/>
        <v>1.7201803660424835E-4</v>
      </c>
    </row>
    <row r="154" spans="1:7" outlineLevel="1">
      <c r="A154" s="1" t="s">
        <v>226</v>
      </c>
      <c r="B154" s="1" t="s">
        <v>227</v>
      </c>
      <c r="C154" s="27">
        <v>4087084.2</v>
      </c>
      <c r="D154" s="27">
        <v>5200482.1100000003</v>
      </c>
      <c r="E154" s="27">
        <v>5984887.6200000001</v>
      </c>
      <c r="F154" s="2">
        <f t="shared" si="6"/>
        <v>5407118.5466666669</v>
      </c>
      <c r="G154" s="9">
        <f t="shared" si="5"/>
        <v>4.4745293410962053E-4</v>
      </c>
    </row>
    <row r="155" spans="1:7" outlineLevel="1">
      <c r="A155" s="1" t="s">
        <v>228</v>
      </c>
      <c r="B155" s="1" t="s">
        <v>229</v>
      </c>
      <c r="C155" s="27">
        <v>4954969.2300000004</v>
      </c>
      <c r="D155" s="27">
        <v>4895871.09</v>
      </c>
      <c r="E155" s="27">
        <v>5413992.0599999996</v>
      </c>
      <c r="F155" s="2">
        <f t="shared" si="6"/>
        <v>5164781.2649999997</v>
      </c>
      <c r="G155" s="9">
        <f t="shared" si="5"/>
        <v>4.273989022273814E-4</v>
      </c>
    </row>
    <row r="156" spans="1:7" outlineLevel="1">
      <c r="A156" s="1" t="s">
        <v>230</v>
      </c>
      <c r="B156" s="1" t="s">
        <v>231</v>
      </c>
      <c r="C156" s="27">
        <v>611394.94999999995</v>
      </c>
      <c r="D156" s="27">
        <v>524230.11</v>
      </c>
      <c r="E156" s="27">
        <v>637468.06000000006</v>
      </c>
      <c r="F156" s="2">
        <f t="shared" si="6"/>
        <v>595376.55833333335</v>
      </c>
      <c r="G156" s="9">
        <f t="shared" si="5"/>
        <v>4.9268937906043767E-5</v>
      </c>
    </row>
    <row r="157" spans="1:7" outlineLevel="1">
      <c r="A157" s="1" t="s">
        <v>571</v>
      </c>
      <c r="B157" s="1" t="s">
        <v>572</v>
      </c>
      <c r="C157" s="27">
        <v>434416.12</v>
      </c>
      <c r="D157" s="27">
        <v>554041.19999999995</v>
      </c>
      <c r="E157" s="27">
        <v>561168.67000000004</v>
      </c>
      <c r="F157" s="2">
        <f t="shared" si="6"/>
        <v>537667.42166666675</v>
      </c>
      <c r="G157" s="9">
        <f t="shared" si="5"/>
        <v>4.4493358768362081E-5</v>
      </c>
    </row>
    <row r="158" spans="1:7" outlineLevel="1">
      <c r="A158" s="1" t="s">
        <v>232</v>
      </c>
      <c r="B158" s="1" t="s">
        <v>233</v>
      </c>
      <c r="C158" s="27">
        <v>576604.1</v>
      </c>
      <c r="D158" s="27">
        <v>576858.68000000005</v>
      </c>
      <c r="E158" s="27">
        <v>653584.41</v>
      </c>
      <c r="F158" s="2">
        <f t="shared" si="6"/>
        <v>615179.11499999999</v>
      </c>
      <c r="G158" s="9">
        <f t="shared" si="5"/>
        <v>5.0907650282496916E-5</v>
      </c>
    </row>
    <row r="159" spans="1:7" outlineLevel="1">
      <c r="A159" s="1" t="s">
        <v>234</v>
      </c>
      <c r="B159" s="1" t="s">
        <v>235</v>
      </c>
      <c r="C159" s="27">
        <v>284601.05</v>
      </c>
      <c r="D159" s="27">
        <v>257232.26</v>
      </c>
      <c r="E159" s="27">
        <v>270518.96000000002</v>
      </c>
      <c r="F159" s="2">
        <f t="shared" si="6"/>
        <v>268437.07500000001</v>
      </c>
      <c r="G159" s="9">
        <f t="shared" si="5"/>
        <v>2.2213856751226667E-5</v>
      </c>
    </row>
    <row r="160" spans="1:7" outlineLevel="1">
      <c r="A160" s="1" t="s">
        <v>236</v>
      </c>
      <c r="B160" s="1" t="s">
        <v>237</v>
      </c>
      <c r="C160" s="27">
        <v>5360733.99</v>
      </c>
      <c r="D160" s="27">
        <v>5665693.3700000001</v>
      </c>
      <c r="E160" s="27">
        <v>6453607.8399999999</v>
      </c>
      <c r="F160" s="2">
        <f t="shared" si="6"/>
        <v>6008824.041666667</v>
      </c>
      <c r="G160" s="9">
        <f t="shared" si="5"/>
        <v>4.9724560776453922E-4</v>
      </c>
    </row>
    <row r="161" spans="1:7" outlineLevel="1">
      <c r="A161" s="1" t="s">
        <v>238</v>
      </c>
      <c r="B161" s="1" t="s">
        <v>239</v>
      </c>
      <c r="C161" s="27">
        <v>348482.07</v>
      </c>
      <c r="D161" s="27">
        <v>345582.34</v>
      </c>
      <c r="E161" s="27">
        <v>320717.77</v>
      </c>
      <c r="F161" s="2">
        <f t="shared" si="6"/>
        <v>333633.34333333332</v>
      </c>
      <c r="G161" s="9">
        <f t="shared" si="5"/>
        <v>2.7609015245898842E-5</v>
      </c>
    </row>
    <row r="162" spans="1:7" outlineLevel="1">
      <c r="A162" s="1" t="s">
        <v>240</v>
      </c>
      <c r="B162" s="1" t="s">
        <v>241</v>
      </c>
      <c r="C162" s="27">
        <v>392417.16</v>
      </c>
      <c r="D162" s="27">
        <v>407004.92</v>
      </c>
      <c r="E162" s="27">
        <v>403322.68</v>
      </c>
      <c r="F162" s="2">
        <f t="shared" si="6"/>
        <v>402732.50666666665</v>
      </c>
      <c r="G162" s="9">
        <f t="shared" si="5"/>
        <v>3.3327148316437929E-5</v>
      </c>
    </row>
    <row r="163" spans="1:7" outlineLevel="1">
      <c r="A163" s="1" t="s">
        <v>242</v>
      </c>
      <c r="B163" s="1" t="s">
        <v>243</v>
      </c>
      <c r="C163" s="27">
        <v>416288.11</v>
      </c>
      <c r="D163" s="27">
        <v>446115.27</v>
      </c>
      <c r="E163" s="27">
        <v>453044.39</v>
      </c>
      <c r="F163" s="2">
        <f t="shared" si="6"/>
        <v>444608.63666666666</v>
      </c>
      <c r="G163" s="9">
        <f t="shared" si="5"/>
        <v>3.6792505525816496E-5</v>
      </c>
    </row>
    <row r="164" spans="1:7" outlineLevel="1">
      <c r="A164" s="1" t="s">
        <v>483</v>
      </c>
      <c r="B164" s="1" t="s">
        <v>484</v>
      </c>
      <c r="C164" s="27">
        <v>35607.519999999997</v>
      </c>
      <c r="D164" s="27">
        <v>36401</v>
      </c>
      <c r="E164" s="27">
        <v>43512.92</v>
      </c>
      <c r="F164" s="2">
        <f t="shared" si="6"/>
        <v>39824.713333333326</v>
      </c>
      <c r="G164" s="9">
        <f t="shared" si="5"/>
        <v>3.2955972163879863E-6</v>
      </c>
    </row>
    <row r="165" spans="1:7" outlineLevel="1">
      <c r="A165" s="1" t="s">
        <v>244</v>
      </c>
      <c r="B165" s="1" t="s">
        <v>245</v>
      </c>
      <c r="C165" s="27">
        <v>21521076.649999999</v>
      </c>
      <c r="D165" s="27">
        <v>25005954.899999999</v>
      </c>
      <c r="E165" s="27">
        <v>25916010.640000001</v>
      </c>
      <c r="F165" s="2">
        <f t="shared" si="6"/>
        <v>24880169.728333335</v>
      </c>
      <c r="G165" s="9">
        <f t="shared" si="5"/>
        <v>2.058897886185814E-3</v>
      </c>
    </row>
    <row r="166" spans="1:7" outlineLevel="1">
      <c r="A166" s="1" t="s">
        <v>246</v>
      </c>
      <c r="B166" s="1" t="s">
        <v>247</v>
      </c>
      <c r="C166" s="27">
        <v>419563.17</v>
      </c>
      <c r="D166" s="27">
        <v>464563.32</v>
      </c>
      <c r="E166" s="27">
        <v>500321.95</v>
      </c>
      <c r="F166" s="2">
        <f t="shared" si="6"/>
        <v>474942.61000000004</v>
      </c>
      <c r="G166" s="9">
        <f t="shared" si="5"/>
        <v>3.9302719654480347E-5</v>
      </c>
    </row>
    <row r="167" spans="1:7" outlineLevel="1">
      <c r="A167" s="1" t="s">
        <v>248</v>
      </c>
      <c r="B167" s="1" t="s">
        <v>249</v>
      </c>
      <c r="C167" s="27">
        <v>390289.94</v>
      </c>
      <c r="D167" s="27">
        <v>380835.74</v>
      </c>
      <c r="E167" s="27">
        <v>450405.97</v>
      </c>
      <c r="F167" s="2">
        <f t="shared" si="6"/>
        <v>417196.55499999999</v>
      </c>
      <c r="G167" s="9">
        <f t="shared" si="5"/>
        <v>3.4524085429984874E-5</v>
      </c>
    </row>
    <row r="168" spans="1:7" outlineLevel="1">
      <c r="A168" s="1" t="s">
        <v>250</v>
      </c>
      <c r="B168" s="1" t="s">
        <v>251</v>
      </c>
      <c r="C168" s="27">
        <v>4530764.57</v>
      </c>
      <c r="D168" s="27">
        <v>5256403.4400000004</v>
      </c>
      <c r="E168" s="27">
        <v>6221940.7000000002</v>
      </c>
      <c r="F168" s="2">
        <f t="shared" si="6"/>
        <v>5618232.2583333338</v>
      </c>
      <c r="G168" s="9">
        <f t="shared" si="5"/>
        <v>4.6492313545637231E-4</v>
      </c>
    </row>
    <row r="169" spans="1:7" outlineLevel="1">
      <c r="A169" s="1" t="s">
        <v>252</v>
      </c>
      <c r="B169" s="1" t="s">
        <v>253</v>
      </c>
      <c r="C169" s="27">
        <v>418699.1</v>
      </c>
      <c r="D169" s="27">
        <v>374286.99</v>
      </c>
      <c r="E169" s="27">
        <v>433501.61</v>
      </c>
      <c r="F169" s="2">
        <f t="shared" si="6"/>
        <v>411296.31833333336</v>
      </c>
      <c r="G169" s="9">
        <f t="shared" si="5"/>
        <v>3.4035825706130906E-5</v>
      </c>
    </row>
    <row r="170" spans="1:7" outlineLevel="1">
      <c r="A170" s="56" t="s">
        <v>254</v>
      </c>
      <c r="B170" s="56" t="s">
        <v>255</v>
      </c>
      <c r="C170" s="27">
        <v>1671058.87</v>
      </c>
      <c r="D170" s="27">
        <v>1705413</v>
      </c>
      <c r="E170" s="27">
        <v>1951009.74</v>
      </c>
      <c r="F170" s="2">
        <f t="shared" si="6"/>
        <v>1822485.6816666666</v>
      </c>
      <c r="G170" s="9">
        <f t="shared" si="5"/>
        <v>1.5081536655733944E-4</v>
      </c>
    </row>
    <row r="171" spans="1:7" outlineLevel="1">
      <c r="A171" s="56" t="s">
        <v>256</v>
      </c>
      <c r="B171" s="56" t="s">
        <v>257</v>
      </c>
      <c r="C171" s="27">
        <v>1424373.01</v>
      </c>
      <c r="D171" s="27">
        <v>1583799.23</v>
      </c>
      <c r="E171" s="27">
        <v>1665991.89</v>
      </c>
      <c r="F171" s="2">
        <f t="shared" si="6"/>
        <v>1598324.5233333334</v>
      </c>
      <c r="G171" s="9">
        <f t="shared" si="5"/>
        <v>1.3226545551988045E-4</v>
      </c>
    </row>
    <row r="172" spans="1:7" outlineLevel="1">
      <c r="A172" s="56" t="s">
        <v>258</v>
      </c>
      <c r="B172" s="56" t="s">
        <v>259</v>
      </c>
      <c r="C172" s="27">
        <v>6927063.7400000002</v>
      </c>
      <c r="D172" s="27">
        <v>7598313.2000000002</v>
      </c>
      <c r="E172" s="27">
        <v>8126259.4900000002</v>
      </c>
      <c r="F172" s="2">
        <f t="shared" si="6"/>
        <v>7750411.4349999996</v>
      </c>
      <c r="G172" s="9">
        <f t="shared" si="5"/>
        <v>6.4136643338167461E-4</v>
      </c>
    </row>
    <row r="173" spans="1:7" outlineLevel="1">
      <c r="A173" s="1" t="s">
        <v>260</v>
      </c>
      <c r="B173" s="1" t="s">
        <v>261</v>
      </c>
      <c r="C173" s="27">
        <v>341636.84</v>
      </c>
      <c r="D173" s="27">
        <v>355834.35</v>
      </c>
      <c r="E173" s="27">
        <v>396370.41</v>
      </c>
      <c r="F173" s="2">
        <f t="shared" si="6"/>
        <v>373736.12833333336</v>
      </c>
      <c r="G173" s="9">
        <f t="shared" si="5"/>
        <v>3.0927623606220316E-5</v>
      </c>
    </row>
    <row r="174" spans="1:7" outlineLevel="1">
      <c r="A174" s="1" t="s">
        <v>262</v>
      </c>
      <c r="B174" s="1" t="s">
        <v>263</v>
      </c>
      <c r="C174" s="27">
        <v>445312.35</v>
      </c>
      <c r="D174" s="27">
        <v>459812.65</v>
      </c>
      <c r="E174" s="27">
        <v>477920.6</v>
      </c>
      <c r="F174" s="2">
        <f t="shared" si="6"/>
        <v>466449.90833333327</v>
      </c>
      <c r="G174" s="9">
        <f t="shared" si="5"/>
        <v>3.8599926799751765E-5</v>
      </c>
    </row>
    <row r="175" spans="1:7" outlineLevel="1">
      <c r="A175" s="1" t="s">
        <v>264</v>
      </c>
      <c r="B175" s="1" t="s">
        <v>265</v>
      </c>
      <c r="C175" s="27">
        <v>478899.68</v>
      </c>
      <c r="D175" s="27">
        <v>546708.55000000005</v>
      </c>
      <c r="E175" s="27">
        <v>586775.34</v>
      </c>
      <c r="F175" s="2">
        <f t="shared" si="6"/>
        <v>555440.46666666667</v>
      </c>
      <c r="G175" s="9">
        <f t="shared" si="5"/>
        <v>4.5964123846781682E-5</v>
      </c>
    </row>
    <row r="176" spans="1:7" outlineLevel="1">
      <c r="A176" s="1" t="s">
        <v>266</v>
      </c>
      <c r="B176" s="1" t="s">
        <v>267</v>
      </c>
      <c r="C176" s="27">
        <v>948858.61</v>
      </c>
      <c r="D176" s="27">
        <v>1025638.61</v>
      </c>
      <c r="E176" s="27">
        <v>1217008</v>
      </c>
      <c r="F176" s="2">
        <f t="shared" si="6"/>
        <v>1108526.6383333334</v>
      </c>
      <c r="G176" s="9">
        <f t="shared" si="5"/>
        <v>9.1733423741320079E-5</v>
      </c>
    </row>
    <row r="177" spans="1:7" outlineLevel="1">
      <c r="A177" s="1" t="s">
        <v>268</v>
      </c>
      <c r="B177" s="1" t="s">
        <v>269</v>
      </c>
      <c r="C177" s="27">
        <v>85421</v>
      </c>
      <c r="D177" s="27">
        <v>92233.89</v>
      </c>
      <c r="E177" s="27">
        <v>102047.93</v>
      </c>
      <c r="F177" s="2">
        <f t="shared" si="6"/>
        <v>96005.428333333344</v>
      </c>
      <c r="G177" s="9">
        <f t="shared" si="5"/>
        <v>7.9446955393059063E-6</v>
      </c>
    </row>
    <row r="178" spans="1:7" outlineLevel="1">
      <c r="A178" s="1" t="s">
        <v>270</v>
      </c>
      <c r="B178" s="1" t="s">
        <v>271</v>
      </c>
      <c r="C178" s="27">
        <v>3356805.97</v>
      </c>
      <c r="D178" s="27">
        <v>3706662.54</v>
      </c>
      <c r="E178" s="27">
        <v>4060802.93</v>
      </c>
      <c r="F178" s="2">
        <f t="shared" si="6"/>
        <v>3825423.3066666671</v>
      </c>
      <c r="G178" s="9">
        <f t="shared" si="5"/>
        <v>3.1656359445541264E-4</v>
      </c>
    </row>
    <row r="179" spans="1:7" outlineLevel="1">
      <c r="A179" s="1" t="s">
        <v>272</v>
      </c>
      <c r="B179" s="1" t="s">
        <v>273</v>
      </c>
      <c r="C179" s="27">
        <v>2537114.09</v>
      </c>
      <c r="D179" s="27">
        <v>2756210.1</v>
      </c>
      <c r="E179" s="27">
        <v>2968853.17</v>
      </c>
      <c r="F179" s="2">
        <f t="shared" si="6"/>
        <v>2826015.6333333333</v>
      </c>
      <c r="G179" s="9">
        <f t="shared" si="5"/>
        <v>2.3386004506118901E-4</v>
      </c>
    </row>
    <row r="180" spans="1:7" outlineLevel="1">
      <c r="A180" s="1" t="s">
        <v>274</v>
      </c>
      <c r="B180" s="1" t="s">
        <v>275</v>
      </c>
      <c r="C180" s="27">
        <v>172101.4</v>
      </c>
      <c r="D180" s="27">
        <v>150904.92000000001</v>
      </c>
      <c r="E180" s="27">
        <v>157529.07999999999</v>
      </c>
      <c r="F180" s="2">
        <f t="shared" si="6"/>
        <v>157749.74666666667</v>
      </c>
      <c r="G180" s="9">
        <f t="shared" si="5"/>
        <v>1.3054196313961586E-5</v>
      </c>
    </row>
    <row r="181" spans="1:7" outlineLevel="1">
      <c r="A181" s="1" t="s">
        <v>276</v>
      </c>
      <c r="B181" s="1" t="s">
        <v>277</v>
      </c>
      <c r="C181" s="27">
        <v>1831477.82</v>
      </c>
      <c r="D181" s="27">
        <v>1935726.93</v>
      </c>
      <c r="E181" s="27">
        <v>2038602.95</v>
      </c>
      <c r="F181" s="2">
        <f t="shared" si="6"/>
        <v>1969790.0883333331</v>
      </c>
      <c r="G181" s="9">
        <f t="shared" si="5"/>
        <v>1.6300518418412504E-4</v>
      </c>
    </row>
    <row r="182" spans="1:7" outlineLevel="1">
      <c r="A182" s="1" t="s">
        <v>278</v>
      </c>
      <c r="B182" s="1" t="s">
        <v>279</v>
      </c>
      <c r="C182" s="27">
        <v>1353244.93</v>
      </c>
      <c r="D182" s="27">
        <v>1289768.82</v>
      </c>
      <c r="E182" s="27">
        <v>1450262.2</v>
      </c>
      <c r="F182" s="2">
        <f t="shared" si="6"/>
        <v>1380594.8616666666</v>
      </c>
      <c r="G182" s="9">
        <f t="shared" si="5"/>
        <v>1.1424776733445977E-4</v>
      </c>
    </row>
    <row r="183" spans="1:7" outlineLevel="1">
      <c r="A183" s="1" t="s">
        <v>280</v>
      </c>
      <c r="B183" s="1" t="s">
        <v>281</v>
      </c>
      <c r="C183" s="27">
        <v>1193966.57</v>
      </c>
      <c r="D183" s="27">
        <v>1286746.75</v>
      </c>
      <c r="E183" s="27">
        <v>1393618.85</v>
      </c>
      <c r="F183" s="2">
        <f t="shared" si="6"/>
        <v>1324719.4366666668</v>
      </c>
      <c r="G183" s="9">
        <f t="shared" si="5"/>
        <v>1.0962393254239945E-4</v>
      </c>
    </row>
    <row r="184" spans="1:7" outlineLevel="1">
      <c r="A184" s="1" t="s">
        <v>282</v>
      </c>
      <c r="B184" s="1" t="s">
        <v>283</v>
      </c>
      <c r="C184" s="27">
        <v>478511.61</v>
      </c>
      <c r="D184" s="27">
        <v>518886.63</v>
      </c>
      <c r="E184" s="27">
        <v>568664.57999999996</v>
      </c>
      <c r="F184" s="2">
        <f t="shared" si="6"/>
        <v>537046.43499999994</v>
      </c>
      <c r="G184" s="9">
        <f t="shared" si="5"/>
        <v>4.4441970528277295E-5</v>
      </c>
    </row>
    <row r="185" spans="1:7" outlineLevel="1">
      <c r="A185" s="1" t="s">
        <v>284</v>
      </c>
      <c r="B185" s="1" t="s">
        <v>285</v>
      </c>
      <c r="C185" s="27">
        <v>782407.14</v>
      </c>
      <c r="D185" s="27">
        <v>860165</v>
      </c>
      <c r="E185" s="27">
        <v>990717.19</v>
      </c>
      <c r="F185" s="2">
        <f t="shared" si="6"/>
        <v>912481.45166666666</v>
      </c>
      <c r="G185" s="9">
        <f t="shared" si="5"/>
        <v>7.5510181503336273E-5</v>
      </c>
    </row>
    <row r="186" spans="1:7" outlineLevel="1">
      <c r="A186" s="1" t="s">
        <v>286</v>
      </c>
      <c r="B186" s="1" t="s">
        <v>287</v>
      </c>
      <c r="C186" s="27">
        <v>24940697.850000001</v>
      </c>
      <c r="D186" s="27">
        <v>28027392.18</v>
      </c>
      <c r="E186" s="27">
        <v>31776144.16</v>
      </c>
      <c r="F186" s="2">
        <f t="shared" si="6"/>
        <v>29387319.114999998</v>
      </c>
      <c r="G186" s="9">
        <f t="shared" si="5"/>
        <v>2.4318760630333762E-3</v>
      </c>
    </row>
    <row r="187" spans="1:7" outlineLevel="1">
      <c r="A187" s="1" t="s">
        <v>288</v>
      </c>
      <c r="B187" s="1" t="s">
        <v>289</v>
      </c>
      <c r="C187" s="27">
        <v>622654.31999999995</v>
      </c>
      <c r="D187" s="27">
        <v>606973.52</v>
      </c>
      <c r="E187" s="27">
        <v>695337.54</v>
      </c>
      <c r="F187" s="2">
        <f t="shared" si="6"/>
        <v>653768.9966666667</v>
      </c>
      <c r="G187" s="9">
        <f t="shared" si="5"/>
        <v>5.4101062009957149E-5</v>
      </c>
    </row>
    <row r="188" spans="1:7" outlineLevel="1">
      <c r="A188" s="1" t="s">
        <v>290</v>
      </c>
      <c r="B188" s="1" t="s">
        <v>291</v>
      </c>
      <c r="C188" s="27">
        <v>79677.53</v>
      </c>
      <c r="D188" s="27">
        <v>77985.119999999995</v>
      </c>
      <c r="E188" s="27">
        <v>88353.15</v>
      </c>
      <c r="F188" s="2">
        <f t="shared" si="6"/>
        <v>83451.203333333324</v>
      </c>
      <c r="G188" s="9">
        <f t="shared" si="5"/>
        <v>6.9058012070953902E-6</v>
      </c>
    </row>
    <row r="189" spans="1:7" outlineLevel="1">
      <c r="A189" s="1" t="s">
        <v>292</v>
      </c>
      <c r="B189" s="1" t="s">
        <v>293</v>
      </c>
      <c r="C189" s="27">
        <v>614367.73</v>
      </c>
      <c r="D189" s="27">
        <v>616831</v>
      </c>
      <c r="E189" s="27">
        <v>716567.56</v>
      </c>
      <c r="F189" s="2">
        <f t="shared" si="6"/>
        <v>666288.73499999999</v>
      </c>
      <c r="G189" s="9">
        <f t="shared" si="5"/>
        <v>5.5137102482010079E-5</v>
      </c>
    </row>
    <row r="190" spans="1:7" outlineLevel="1">
      <c r="A190" s="1" t="s">
        <v>294</v>
      </c>
      <c r="B190" s="1" t="s">
        <v>295</v>
      </c>
      <c r="C190" s="27">
        <v>7733890.6200000001</v>
      </c>
      <c r="D190" s="27">
        <v>8080003.7599999998</v>
      </c>
      <c r="E190" s="27">
        <v>8771350.2699999996</v>
      </c>
      <c r="F190" s="2">
        <f t="shared" si="6"/>
        <v>8367991.4916666672</v>
      </c>
      <c r="G190" s="9">
        <f t="shared" si="5"/>
        <v>6.9247276774777439E-4</v>
      </c>
    </row>
    <row r="191" spans="1:7" outlineLevel="1">
      <c r="A191" s="1" t="s">
        <v>296</v>
      </c>
      <c r="B191" s="1" t="s">
        <v>297</v>
      </c>
      <c r="C191" s="27">
        <v>618567.49</v>
      </c>
      <c r="D191" s="27">
        <v>660847.04</v>
      </c>
      <c r="E191" s="27">
        <v>700910.16</v>
      </c>
      <c r="F191" s="2">
        <f t="shared" si="6"/>
        <v>673832.0083333333</v>
      </c>
      <c r="G191" s="9">
        <f t="shared" si="5"/>
        <v>5.5761327705973696E-5</v>
      </c>
    </row>
    <row r="192" spans="1:7" outlineLevel="1">
      <c r="A192" s="1" t="s">
        <v>298</v>
      </c>
      <c r="B192" s="1" t="s">
        <v>299</v>
      </c>
      <c r="C192" s="27">
        <v>232468.97</v>
      </c>
      <c r="D192" s="27">
        <v>228989</v>
      </c>
      <c r="E192" s="27">
        <v>251283</v>
      </c>
      <c r="F192" s="2">
        <f t="shared" si="6"/>
        <v>240715.995</v>
      </c>
      <c r="G192" s="9">
        <f t="shared" si="5"/>
        <v>1.9919866250438744E-5</v>
      </c>
    </row>
    <row r="193" spans="1:11" outlineLevel="1">
      <c r="A193" s="1" t="s">
        <v>300</v>
      </c>
      <c r="B193" s="1" t="s">
        <v>301</v>
      </c>
      <c r="C193" s="27">
        <v>664039.28</v>
      </c>
      <c r="D193" s="27">
        <v>667541.28</v>
      </c>
      <c r="E193" s="27">
        <v>714808.42</v>
      </c>
      <c r="F193" s="2">
        <f t="shared" si="6"/>
        <v>690591.18333333347</v>
      </c>
      <c r="G193" s="9">
        <f t="shared" si="5"/>
        <v>5.7148192440357882E-5</v>
      </c>
    </row>
    <row r="194" spans="1:11" outlineLevel="1">
      <c r="A194" s="1" t="s">
        <v>302</v>
      </c>
      <c r="B194" s="1" t="s">
        <v>303</v>
      </c>
      <c r="C194" s="27">
        <v>814529.95</v>
      </c>
      <c r="D194" s="27">
        <v>885766.82</v>
      </c>
      <c r="E194" s="27">
        <v>1097898.8</v>
      </c>
      <c r="F194" s="2">
        <f t="shared" si="6"/>
        <v>979959.99833333341</v>
      </c>
      <c r="G194" s="9">
        <f t="shared" si="5"/>
        <v>8.1094204386294218E-5</v>
      </c>
      <c r="K194" s="3"/>
    </row>
    <row r="195" spans="1:11" outlineLevel="1">
      <c r="A195" s="1" t="s">
        <v>304</v>
      </c>
      <c r="B195" s="1" t="s">
        <v>305</v>
      </c>
      <c r="C195" s="27">
        <v>447021.75</v>
      </c>
      <c r="D195" s="27">
        <v>517813.73</v>
      </c>
      <c r="E195" s="27">
        <v>590698.01</v>
      </c>
      <c r="F195" s="2">
        <f t="shared" si="6"/>
        <v>542457.20666666667</v>
      </c>
      <c r="G195" s="9">
        <f t="shared" si="5"/>
        <v>4.4889725767440629E-5</v>
      </c>
    </row>
    <row r="196" spans="1:11" outlineLevel="1">
      <c r="A196" s="1" t="s">
        <v>306</v>
      </c>
      <c r="B196" s="1" t="s">
        <v>307</v>
      </c>
      <c r="C196" s="27">
        <v>884836.97</v>
      </c>
      <c r="D196" s="27">
        <v>953933.73</v>
      </c>
      <c r="E196" s="27">
        <v>1011252.4</v>
      </c>
      <c r="F196" s="2">
        <f t="shared" si="6"/>
        <v>971076.93833333335</v>
      </c>
      <c r="G196" s="9">
        <f t="shared" si="5"/>
        <v>8.0359108377844006E-5</v>
      </c>
    </row>
    <row r="197" spans="1:11" outlineLevel="1">
      <c r="A197" s="1" t="s">
        <v>308</v>
      </c>
      <c r="B197" s="1" t="s">
        <v>309</v>
      </c>
      <c r="C197" s="27">
        <v>238637.85</v>
      </c>
      <c r="D197" s="27">
        <v>273582.45</v>
      </c>
      <c r="E197" s="27">
        <v>312539.78000000003</v>
      </c>
      <c r="F197" s="2">
        <f t="shared" si="6"/>
        <v>287237.01500000001</v>
      </c>
      <c r="G197" s="9">
        <f t="shared" ref="G197:G260" si="7">+F197/$F$264</f>
        <v>2.3769600025853157E-5</v>
      </c>
    </row>
    <row r="198" spans="1:11" outlineLevel="1">
      <c r="A198" s="1" t="s">
        <v>310</v>
      </c>
      <c r="B198" s="11" t="s">
        <v>598</v>
      </c>
      <c r="C198" s="27">
        <f>898429.06+225473.49</f>
        <v>1123902.55</v>
      </c>
      <c r="D198" s="27">
        <f>1022351.75+38707.14</f>
        <v>1061058.8899999999</v>
      </c>
      <c r="E198" s="27">
        <v>1155484.5</v>
      </c>
      <c r="F198" s="2">
        <f t="shared" si="6"/>
        <v>1118745.6383333334</v>
      </c>
      <c r="G198" s="9">
        <f t="shared" si="7"/>
        <v>9.257907221271989E-5</v>
      </c>
    </row>
    <row r="199" spans="1:11" outlineLevel="1">
      <c r="A199" s="1" t="s">
        <v>312</v>
      </c>
      <c r="B199" s="1" t="s">
        <v>313</v>
      </c>
      <c r="C199" s="27">
        <v>3813103.83</v>
      </c>
      <c r="D199" s="27">
        <v>3643203.22</v>
      </c>
      <c r="E199" s="27">
        <v>3822395.65</v>
      </c>
      <c r="F199" s="2">
        <f t="shared" si="6"/>
        <v>3761116.2033333331</v>
      </c>
      <c r="G199" s="9">
        <f t="shared" si="7"/>
        <v>3.1124201664603957E-4</v>
      </c>
    </row>
    <row r="200" spans="1:11" outlineLevel="1">
      <c r="A200" s="1" t="s">
        <v>314</v>
      </c>
      <c r="B200" s="1" t="s">
        <v>315</v>
      </c>
      <c r="C200" s="27">
        <v>721897.04</v>
      </c>
      <c r="D200" s="27">
        <v>884472.04</v>
      </c>
      <c r="E200" s="27">
        <v>753725.29</v>
      </c>
      <c r="F200" s="2">
        <f t="shared" si="6"/>
        <v>792002.83166666667</v>
      </c>
      <c r="G200" s="9">
        <f t="shared" si="7"/>
        <v>6.5540266556731114E-5</v>
      </c>
    </row>
    <row r="201" spans="1:11" outlineLevel="1">
      <c r="A201" s="1" t="s">
        <v>316</v>
      </c>
      <c r="B201" s="1" t="s">
        <v>317</v>
      </c>
      <c r="C201" s="27">
        <v>2378262.71</v>
      </c>
      <c r="D201" s="27">
        <v>2469010.4900000002</v>
      </c>
      <c r="E201" s="27">
        <v>2740494.56</v>
      </c>
      <c r="F201" s="2">
        <f t="shared" si="6"/>
        <v>2589627.895</v>
      </c>
      <c r="G201" s="9">
        <f t="shared" si="7"/>
        <v>2.142983531559888E-4</v>
      </c>
    </row>
    <row r="202" spans="1:11" outlineLevel="1">
      <c r="A202" s="1" t="s">
        <v>318</v>
      </c>
      <c r="B202" s="1" t="s">
        <v>319</v>
      </c>
      <c r="C202" s="27">
        <v>225246.86</v>
      </c>
      <c r="D202" s="27">
        <v>252981.52</v>
      </c>
      <c r="E202" s="27">
        <v>279546.51</v>
      </c>
      <c r="F202" s="2">
        <f t="shared" si="6"/>
        <v>261641.57166666666</v>
      </c>
      <c r="G202" s="9">
        <f t="shared" si="7"/>
        <v>2.165151141350031E-5</v>
      </c>
    </row>
    <row r="203" spans="1:11" outlineLevel="1">
      <c r="A203" s="1" t="s">
        <v>320</v>
      </c>
      <c r="B203" s="1" t="s">
        <v>321</v>
      </c>
      <c r="C203" s="27">
        <v>1106107.02</v>
      </c>
      <c r="D203" s="27">
        <v>1168995.8899999999</v>
      </c>
      <c r="E203" s="27">
        <v>1479190.99</v>
      </c>
      <c r="F203" s="2">
        <f t="shared" si="6"/>
        <v>1313611.9616666667</v>
      </c>
      <c r="G203" s="9">
        <f t="shared" si="7"/>
        <v>1.0870476048497097E-4</v>
      </c>
    </row>
    <row r="204" spans="1:11" outlineLevel="1">
      <c r="A204" s="1" t="s">
        <v>492</v>
      </c>
      <c r="B204" s="1" t="s">
        <v>490</v>
      </c>
      <c r="C204" s="27">
        <v>419080.74</v>
      </c>
      <c r="D204" s="27">
        <v>543856.28</v>
      </c>
      <c r="E204" s="27">
        <v>536997.42000000004</v>
      </c>
      <c r="F204" s="2">
        <f t="shared" ref="F204:F261" si="8">IF(C204&gt;0,(+C204+(D204*2)+(E204*3))/6,IF(D204&gt;0,((D204*2)+(E204*3))/5,E204))</f>
        <v>519630.92666666675</v>
      </c>
      <c r="G204" s="9">
        <f t="shared" si="7"/>
        <v>4.3000792526444063E-5</v>
      </c>
    </row>
    <row r="205" spans="1:11" outlineLevel="1">
      <c r="A205" s="1" t="s">
        <v>322</v>
      </c>
      <c r="B205" s="1" t="s">
        <v>323</v>
      </c>
      <c r="C205" s="27">
        <v>1013684.56</v>
      </c>
      <c r="D205" s="27">
        <v>1128499.27</v>
      </c>
      <c r="E205" s="27">
        <v>1261432.06</v>
      </c>
      <c r="F205" s="2">
        <f t="shared" si="8"/>
        <v>1175829.8800000001</v>
      </c>
      <c r="G205" s="9">
        <f t="shared" si="7"/>
        <v>9.7302939685704911E-5</v>
      </c>
    </row>
    <row r="206" spans="1:11" outlineLevel="1">
      <c r="A206" s="1" t="s">
        <v>324</v>
      </c>
      <c r="B206" s="1" t="s">
        <v>325</v>
      </c>
      <c r="C206" s="27">
        <v>531765.93000000005</v>
      </c>
      <c r="D206" s="27">
        <v>579934.85</v>
      </c>
      <c r="E206" s="27">
        <v>613831</v>
      </c>
      <c r="F206" s="2">
        <f t="shared" si="8"/>
        <v>588854.77166666661</v>
      </c>
      <c r="G206" s="9">
        <f t="shared" si="7"/>
        <v>4.8729243324826197E-5</v>
      </c>
    </row>
    <row r="207" spans="1:11" outlineLevel="1">
      <c r="A207" s="1" t="s">
        <v>326</v>
      </c>
      <c r="B207" s="1" t="s">
        <v>327</v>
      </c>
      <c r="C207" s="27">
        <v>522324.69</v>
      </c>
      <c r="D207" s="27">
        <v>566756.55000000005</v>
      </c>
      <c r="E207" s="27">
        <v>580302.38</v>
      </c>
      <c r="F207" s="2">
        <f t="shared" si="8"/>
        <v>566124.15500000003</v>
      </c>
      <c r="G207" s="9">
        <f t="shared" si="7"/>
        <v>4.684822647012989E-5</v>
      </c>
    </row>
    <row r="208" spans="1:11" outlineLevel="1">
      <c r="A208" s="1" t="s">
        <v>328</v>
      </c>
      <c r="B208" s="1" t="s">
        <v>329</v>
      </c>
      <c r="C208" s="27">
        <v>158640.93</v>
      </c>
      <c r="D208" s="27">
        <v>163595.07999999999</v>
      </c>
      <c r="E208" s="27">
        <v>178710.02</v>
      </c>
      <c r="F208" s="2">
        <f t="shared" si="8"/>
        <v>170326.85833333331</v>
      </c>
      <c r="G208" s="9">
        <f t="shared" si="7"/>
        <v>1.409498457656471E-5</v>
      </c>
    </row>
    <row r="209" spans="1:7" outlineLevel="1">
      <c r="A209" s="1" t="s">
        <v>330</v>
      </c>
      <c r="B209" s="1" t="s">
        <v>331</v>
      </c>
      <c r="C209" s="27">
        <v>1705181.82</v>
      </c>
      <c r="D209" s="27">
        <v>1735501.81</v>
      </c>
      <c r="E209" s="27">
        <v>1761810.59</v>
      </c>
      <c r="F209" s="2">
        <f t="shared" si="8"/>
        <v>1743602.8683333334</v>
      </c>
      <c r="G209" s="9">
        <f t="shared" si="7"/>
        <v>1.4428761134498505E-4</v>
      </c>
    </row>
    <row r="210" spans="1:7" outlineLevel="1">
      <c r="A210" s="1" t="s">
        <v>332</v>
      </c>
      <c r="B210" s="1" t="s">
        <v>561</v>
      </c>
      <c r="C210" s="27">
        <v>798901.32</v>
      </c>
      <c r="D210" s="27">
        <v>834670.84</v>
      </c>
      <c r="E210" s="27">
        <v>838243.55</v>
      </c>
      <c r="F210" s="2">
        <f t="shared" si="8"/>
        <v>830495.6083333334</v>
      </c>
      <c r="G210" s="9">
        <f t="shared" si="7"/>
        <v>6.8725642596275185E-5</v>
      </c>
    </row>
    <row r="211" spans="1:7" outlineLevel="1">
      <c r="A211" s="1" t="s">
        <v>334</v>
      </c>
      <c r="B211" s="1" t="s">
        <v>335</v>
      </c>
      <c r="C211" s="27">
        <v>543168.84</v>
      </c>
      <c r="D211" s="27">
        <v>582143.81000000006</v>
      </c>
      <c r="E211" s="27">
        <v>598723.35</v>
      </c>
      <c r="F211" s="2">
        <f t="shared" si="8"/>
        <v>583937.75166666659</v>
      </c>
      <c r="G211" s="9">
        <f t="shared" si="7"/>
        <v>4.8322347303019537E-5</v>
      </c>
    </row>
    <row r="212" spans="1:7" outlineLevel="1">
      <c r="A212" s="1" t="s">
        <v>336</v>
      </c>
      <c r="B212" s="1" t="s">
        <v>337</v>
      </c>
      <c r="C212" s="27">
        <v>4828645.43</v>
      </c>
      <c r="D212" s="27">
        <v>5032804.96</v>
      </c>
      <c r="E212" s="27">
        <v>5609950.2999999998</v>
      </c>
      <c r="F212" s="2">
        <f t="shared" si="8"/>
        <v>5287351.041666667</v>
      </c>
      <c r="G212" s="9">
        <f t="shared" si="7"/>
        <v>4.3754186575394787E-4</v>
      </c>
    </row>
    <row r="213" spans="1:7" outlineLevel="1">
      <c r="A213" s="1" t="s">
        <v>589</v>
      </c>
      <c r="B213" s="1" t="s">
        <v>590</v>
      </c>
      <c r="C213" s="27">
        <v>914395.92</v>
      </c>
      <c r="D213" s="27">
        <v>1017387.78</v>
      </c>
      <c r="E213" s="27">
        <v>1089648.1000000001</v>
      </c>
      <c r="F213" s="2">
        <f t="shared" si="8"/>
        <v>1036352.63</v>
      </c>
      <c r="G213" s="9">
        <f t="shared" si="7"/>
        <v>8.576083935714548E-5</v>
      </c>
    </row>
    <row r="214" spans="1:7" outlineLevel="1">
      <c r="A214" s="1" t="s">
        <v>475</v>
      </c>
      <c r="B214" s="1" t="s">
        <v>342</v>
      </c>
      <c r="C214" s="27">
        <v>578792.27</v>
      </c>
      <c r="D214" s="27">
        <v>522618.14</v>
      </c>
      <c r="E214" s="27">
        <v>538223.13</v>
      </c>
      <c r="F214" s="2">
        <f t="shared" si="8"/>
        <v>539782.99000000011</v>
      </c>
      <c r="G214" s="9">
        <f t="shared" si="7"/>
        <v>4.4668427476379029E-5</v>
      </c>
    </row>
    <row r="215" spans="1:7" outlineLevel="1">
      <c r="A215" s="1" t="s">
        <v>476</v>
      </c>
      <c r="B215" s="1" t="s">
        <v>338</v>
      </c>
      <c r="C215" s="27">
        <v>223375.08</v>
      </c>
      <c r="D215" s="27">
        <v>240047.79</v>
      </c>
      <c r="E215" s="27">
        <v>283474.8</v>
      </c>
      <c r="F215" s="2">
        <f t="shared" si="8"/>
        <v>258982.51</v>
      </c>
      <c r="G215" s="9">
        <f t="shared" si="7"/>
        <v>2.1431467237575614E-5</v>
      </c>
    </row>
    <row r="216" spans="1:7" outlineLevel="1">
      <c r="A216" s="1" t="s">
        <v>340</v>
      </c>
      <c r="B216" s="1" t="s">
        <v>341</v>
      </c>
      <c r="C216" s="27">
        <v>2997525.86</v>
      </c>
      <c r="D216" s="27">
        <v>3182512.91</v>
      </c>
      <c r="E216" s="27">
        <v>3730791.85</v>
      </c>
      <c r="F216" s="2">
        <f t="shared" si="8"/>
        <v>3425821.2050000001</v>
      </c>
      <c r="G216" s="9">
        <f t="shared" si="7"/>
        <v>2.8349549518517415E-4</v>
      </c>
    </row>
    <row r="217" spans="1:7" outlineLevel="1">
      <c r="A217" s="1" t="s">
        <v>343</v>
      </c>
      <c r="B217" s="1" t="s">
        <v>344</v>
      </c>
      <c r="C217" s="27">
        <v>2195869.2000000002</v>
      </c>
      <c r="D217" s="27">
        <v>2659509.0699999998</v>
      </c>
      <c r="E217" s="27">
        <v>2973006.9</v>
      </c>
      <c r="F217" s="2">
        <f t="shared" si="8"/>
        <v>2738984.6733333333</v>
      </c>
      <c r="G217" s="9">
        <f t="shared" si="7"/>
        <v>2.2665800980446548E-4</v>
      </c>
    </row>
    <row r="218" spans="1:7" outlineLevel="1">
      <c r="A218" s="1" t="s">
        <v>345</v>
      </c>
      <c r="B218" s="1" t="s">
        <v>346</v>
      </c>
      <c r="C218" s="27">
        <v>305344.94</v>
      </c>
      <c r="D218" s="27">
        <v>318563.24</v>
      </c>
      <c r="E218" s="27">
        <v>350093.51</v>
      </c>
      <c r="F218" s="2">
        <f t="shared" si="8"/>
        <v>332125.32500000001</v>
      </c>
      <c r="G218" s="9">
        <f t="shared" si="7"/>
        <v>2.7484222859322251E-5</v>
      </c>
    </row>
    <row r="219" spans="1:7" outlineLevel="1">
      <c r="A219" s="1" t="s">
        <v>347</v>
      </c>
      <c r="B219" s="1" t="s">
        <v>348</v>
      </c>
      <c r="C219" s="27">
        <v>416674.83</v>
      </c>
      <c r="D219" s="27">
        <v>394769.39</v>
      </c>
      <c r="E219" s="27">
        <v>437495.35</v>
      </c>
      <c r="F219" s="2">
        <f t="shared" si="8"/>
        <v>419783.27666666667</v>
      </c>
      <c r="G219" s="9">
        <f t="shared" si="7"/>
        <v>3.4738143285289055E-5</v>
      </c>
    </row>
    <row r="220" spans="1:7" outlineLevel="1">
      <c r="A220" s="1" t="s">
        <v>349</v>
      </c>
      <c r="B220" s="1" t="s">
        <v>350</v>
      </c>
      <c r="C220" s="27">
        <v>2702709.83</v>
      </c>
      <c r="D220" s="27">
        <v>2909113.73</v>
      </c>
      <c r="E220" s="27">
        <v>3090035.84</v>
      </c>
      <c r="F220" s="2">
        <f t="shared" si="8"/>
        <v>2965174.1349999998</v>
      </c>
      <c r="G220" s="9">
        <f t="shared" si="7"/>
        <v>2.4537576814727413E-4</v>
      </c>
    </row>
    <row r="221" spans="1:7" outlineLevel="1">
      <c r="A221" s="1" t="s">
        <v>351</v>
      </c>
      <c r="B221" s="1" t="s">
        <v>352</v>
      </c>
      <c r="C221" s="27">
        <v>489164.75</v>
      </c>
      <c r="D221" s="27">
        <v>522299.07</v>
      </c>
      <c r="E221" s="27">
        <v>530462.30000000005</v>
      </c>
      <c r="F221" s="2">
        <f t="shared" si="8"/>
        <v>520858.29833333334</v>
      </c>
      <c r="G221" s="9">
        <f t="shared" si="7"/>
        <v>4.3102360681229859E-5</v>
      </c>
    </row>
    <row r="222" spans="1:7" outlineLevel="1">
      <c r="A222" s="1" t="s">
        <v>353</v>
      </c>
      <c r="B222" s="1" t="s">
        <v>354</v>
      </c>
      <c r="C222" s="27">
        <v>531381.94999999995</v>
      </c>
      <c r="D222" s="27">
        <v>564119.98</v>
      </c>
      <c r="E222" s="27">
        <v>660297.18999999994</v>
      </c>
      <c r="F222" s="2">
        <f t="shared" si="8"/>
        <v>606752.24666666659</v>
      </c>
      <c r="G222" s="9">
        <f t="shared" si="7"/>
        <v>5.0210305305026434E-5</v>
      </c>
    </row>
    <row r="223" spans="1:7" outlineLevel="1">
      <c r="A223" s="1" t="s">
        <v>355</v>
      </c>
      <c r="B223" s="1" t="s">
        <v>356</v>
      </c>
      <c r="C223" s="27">
        <v>823587.88</v>
      </c>
      <c r="D223" s="27">
        <v>984334.58</v>
      </c>
      <c r="E223" s="27">
        <v>842245.89</v>
      </c>
      <c r="F223" s="2">
        <f t="shared" si="8"/>
        <v>886499.11833333329</v>
      </c>
      <c r="G223" s="9">
        <f t="shared" si="7"/>
        <v>7.3360076750744665E-5</v>
      </c>
    </row>
    <row r="224" spans="1:7" outlineLevel="1">
      <c r="A224" s="1" t="s">
        <v>357</v>
      </c>
      <c r="B224" s="1" t="s">
        <v>358</v>
      </c>
      <c r="C224" s="27">
        <v>883342.02</v>
      </c>
      <c r="D224" s="27">
        <v>925268.37</v>
      </c>
      <c r="E224" s="27">
        <v>980469.47</v>
      </c>
      <c r="F224" s="2">
        <f t="shared" si="8"/>
        <v>945881.19499999995</v>
      </c>
      <c r="G224" s="9">
        <f t="shared" si="7"/>
        <v>7.827409596609968E-5</v>
      </c>
    </row>
    <row r="225" spans="1:7" outlineLevel="1">
      <c r="A225" s="1" t="s">
        <v>359</v>
      </c>
      <c r="B225" s="1" t="s">
        <v>360</v>
      </c>
      <c r="C225" s="27">
        <v>364192.02</v>
      </c>
      <c r="D225" s="27">
        <v>387540.04</v>
      </c>
      <c r="E225" s="27">
        <v>416240.99</v>
      </c>
      <c r="F225" s="2">
        <f t="shared" si="8"/>
        <v>397999.1783333334</v>
      </c>
      <c r="G225" s="9">
        <f t="shared" si="7"/>
        <v>3.2935453251390795E-5</v>
      </c>
    </row>
    <row r="226" spans="1:7" outlineLevel="1">
      <c r="A226" s="1" t="s">
        <v>361</v>
      </c>
      <c r="B226" s="1" t="s">
        <v>362</v>
      </c>
      <c r="C226" s="27">
        <v>5378042.9500000002</v>
      </c>
      <c r="D226" s="27">
        <v>5745296.5499999998</v>
      </c>
      <c r="E226" s="27">
        <v>6546319.7800000003</v>
      </c>
      <c r="F226" s="2">
        <f t="shared" si="8"/>
        <v>6084599.2316666665</v>
      </c>
      <c r="G226" s="9">
        <f t="shared" si="7"/>
        <v>5.0351619917206726E-4</v>
      </c>
    </row>
    <row r="227" spans="1:7" outlineLevel="1">
      <c r="A227" s="1" t="s">
        <v>363</v>
      </c>
      <c r="B227" s="1" t="s">
        <v>364</v>
      </c>
      <c r="C227" s="27">
        <v>845107.91</v>
      </c>
      <c r="D227" s="27">
        <v>893992.85</v>
      </c>
      <c r="E227" s="27">
        <v>949065.38</v>
      </c>
      <c r="F227" s="2">
        <f t="shared" si="8"/>
        <v>913381.625</v>
      </c>
      <c r="G227" s="9">
        <f t="shared" si="7"/>
        <v>7.558467315646556E-5</v>
      </c>
    </row>
    <row r="228" spans="1:7" outlineLevel="1">
      <c r="A228" s="1" t="s">
        <v>365</v>
      </c>
      <c r="B228" s="1" t="s">
        <v>366</v>
      </c>
      <c r="C228" s="27">
        <v>314056.98</v>
      </c>
      <c r="D228" s="27">
        <v>413811.53</v>
      </c>
      <c r="E228" s="27">
        <v>346625.13</v>
      </c>
      <c r="F228" s="2">
        <f t="shared" si="8"/>
        <v>363592.57166666671</v>
      </c>
      <c r="G228" s="9">
        <f t="shared" si="7"/>
        <v>3.0088218264237346E-5</v>
      </c>
    </row>
    <row r="229" spans="1:7" outlineLevel="1">
      <c r="A229" s="1" t="s">
        <v>367</v>
      </c>
      <c r="B229" s="1" t="s">
        <v>368</v>
      </c>
      <c r="C229" s="27">
        <v>236607.04</v>
      </c>
      <c r="D229" s="27">
        <v>230169.8</v>
      </c>
      <c r="E229" s="27">
        <v>246458.23</v>
      </c>
      <c r="F229" s="2">
        <f t="shared" si="8"/>
        <v>239386.88833333334</v>
      </c>
      <c r="G229" s="9">
        <f t="shared" si="7"/>
        <v>1.9809879263356452E-5</v>
      </c>
    </row>
    <row r="230" spans="1:7" outlineLevel="1">
      <c r="A230" s="1" t="s">
        <v>369</v>
      </c>
      <c r="B230" s="1" t="s">
        <v>370</v>
      </c>
      <c r="C230" s="27">
        <v>1484563.33</v>
      </c>
      <c r="D230" s="27">
        <v>1511806.6</v>
      </c>
      <c r="E230" s="27">
        <v>1610754.9</v>
      </c>
      <c r="F230" s="2">
        <f t="shared" si="8"/>
        <v>1556740.2050000001</v>
      </c>
      <c r="G230" s="9">
        <f t="shared" si="7"/>
        <v>1.2882424647469147E-4</v>
      </c>
    </row>
    <row r="231" spans="1:7" outlineLevel="1">
      <c r="A231" s="1" t="s">
        <v>371</v>
      </c>
      <c r="B231" s="1" t="s">
        <v>372</v>
      </c>
      <c r="C231" s="27">
        <v>764677.83</v>
      </c>
      <c r="D231" s="27">
        <v>723236.39</v>
      </c>
      <c r="E231" s="27">
        <v>821232.14</v>
      </c>
      <c r="F231" s="2">
        <f t="shared" si="8"/>
        <v>779141.17166666652</v>
      </c>
      <c r="G231" s="9">
        <f t="shared" si="7"/>
        <v>6.4475931189409051E-5</v>
      </c>
    </row>
    <row r="232" spans="1:7" outlineLevel="1">
      <c r="A232" s="1" t="s">
        <v>373</v>
      </c>
      <c r="B232" s="1" t="s">
        <v>374</v>
      </c>
      <c r="C232" s="27">
        <v>860466.92</v>
      </c>
      <c r="D232" s="27">
        <v>977968.82</v>
      </c>
      <c r="E232" s="27">
        <v>1051133.8899999999</v>
      </c>
      <c r="F232" s="2">
        <f t="shared" si="8"/>
        <v>994967.70500000007</v>
      </c>
      <c r="G232" s="9">
        <f t="shared" si="7"/>
        <v>8.2336130621922301E-5</v>
      </c>
    </row>
    <row r="233" spans="1:7" outlineLevel="1">
      <c r="A233" s="1" t="s">
        <v>375</v>
      </c>
      <c r="B233" s="1" t="s">
        <v>376</v>
      </c>
      <c r="C233" s="27">
        <v>2653346.5499999998</v>
      </c>
      <c r="D233" s="27">
        <v>2922986.51</v>
      </c>
      <c r="E233" s="27">
        <v>3355899.9</v>
      </c>
      <c r="F233" s="2">
        <f t="shared" si="8"/>
        <v>3094503.2116666664</v>
      </c>
      <c r="G233" s="9">
        <f t="shared" si="7"/>
        <v>2.5607808109283782E-4</v>
      </c>
    </row>
    <row r="234" spans="1:7" outlineLevel="1">
      <c r="A234" s="1" t="s">
        <v>547</v>
      </c>
      <c r="B234" s="1" t="s">
        <v>548</v>
      </c>
      <c r="C234" s="27">
        <v>172227.4</v>
      </c>
      <c r="D234" s="27">
        <v>86168.39</v>
      </c>
      <c r="E234" s="27">
        <v>98305.17</v>
      </c>
      <c r="F234" s="2">
        <f t="shared" si="8"/>
        <v>106579.94833333332</v>
      </c>
      <c r="G234" s="9">
        <f t="shared" si="7"/>
        <v>8.8197642029507506E-6</v>
      </c>
    </row>
    <row r="235" spans="1:7" outlineLevel="1">
      <c r="A235" s="1" t="s">
        <v>377</v>
      </c>
      <c r="B235" s="1" t="s">
        <v>378</v>
      </c>
      <c r="C235" s="27">
        <v>480611.81</v>
      </c>
      <c r="D235" s="27">
        <v>453593.13</v>
      </c>
      <c r="E235" s="27">
        <v>463399.15</v>
      </c>
      <c r="F235" s="2">
        <f t="shared" si="8"/>
        <v>462999.25333333341</v>
      </c>
      <c r="G235" s="9">
        <f t="shared" si="7"/>
        <v>3.8314376244308183E-5</v>
      </c>
    </row>
    <row r="236" spans="1:7" outlineLevel="1">
      <c r="A236" s="1" t="s">
        <v>379</v>
      </c>
      <c r="B236" s="1" t="s">
        <v>380</v>
      </c>
      <c r="C236" s="27">
        <v>1106448.1499999999</v>
      </c>
      <c r="D236" s="27">
        <v>1203017.94</v>
      </c>
      <c r="E236" s="27">
        <v>1475781.49</v>
      </c>
      <c r="F236" s="2">
        <f t="shared" si="8"/>
        <v>1323304.75</v>
      </c>
      <c r="G236" s="9">
        <f t="shared" si="7"/>
        <v>1.0950686359072351E-4</v>
      </c>
    </row>
    <row r="237" spans="1:7" outlineLevel="1">
      <c r="A237" s="1" t="s">
        <v>381</v>
      </c>
      <c r="B237" s="1" t="s">
        <v>382</v>
      </c>
      <c r="C237" s="27">
        <v>234579.16</v>
      </c>
      <c r="D237" s="27">
        <v>229305.41</v>
      </c>
      <c r="E237" s="27">
        <v>269754.98</v>
      </c>
      <c r="F237" s="2">
        <f t="shared" si="8"/>
        <v>250409.15333333332</v>
      </c>
      <c r="G237" s="9">
        <f t="shared" si="7"/>
        <v>2.0721999974640686E-5</v>
      </c>
    </row>
    <row r="238" spans="1:7" outlineLevel="1">
      <c r="A238" s="1" t="s">
        <v>383</v>
      </c>
      <c r="B238" s="1" t="s">
        <v>384</v>
      </c>
      <c r="C238" s="27">
        <v>2841934.86</v>
      </c>
      <c r="D238" s="27">
        <v>3186453.15</v>
      </c>
      <c r="E238" s="27">
        <v>3331690.35</v>
      </c>
      <c r="F238" s="2">
        <f t="shared" si="8"/>
        <v>3201652.0350000001</v>
      </c>
      <c r="G238" s="9">
        <f t="shared" si="7"/>
        <v>2.6494492116174099E-4</v>
      </c>
    </row>
    <row r="239" spans="1:7" outlineLevel="1">
      <c r="A239" s="1" t="s">
        <v>385</v>
      </c>
      <c r="B239" s="1" t="s">
        <v>386</v>
      </c>
      <c r="C239" s="27">
        <v>421735.51</v>
      </c>
      <c r="D239" s="27">
        <v>423599.5</v>
      </c>
      <c r="E239" s="27">
        <v>446462.4</v>
      </c>
      <c r="F239" s="2">
        <f t="shared" si="8"/>
        <v>434720.28499999997</v>
      </c>
      <c r="G239" s="9">
        <f t="shared" si="7"/>
        <v>3.5974219052425712E-5</v>
      </c>
    </row>
    <row r="240" spans="1:7" outlineLevel="1">
      <c r="A240" s="1" t="s">
        <v>387</v>
      </c>
      <c r="B240" s="1" t="s">
        <v>388</v>
      </c>
      <c r="C240" s="27">
        <v>2140937.1800000002</v>
      </c>
      <c r="D240" s="27">
        <v>2474768.1800000002</v>
      </c>
      <c r="E240" s="27">
        <v>2650275.1</v>
      </c>
      <c r="F240" s="2">
        <f t="shared" si="8"/>
        <v>2506883.14</v>
      </c>
      <c r="G240" s="9">
        <f t="shared" si="7"/>
        <v>2.0745101236118487E-4</v>
      </c>
    </row>
    <row r="241" spans="1:7" outlineLevel="1">
      <c r="A241" s="1" t="s">
        <v>389</v>
      </c>
      <c r="B241" s="1" t="s">
        <v>390</v>
      </c>
      <c r="C241" s="27">
        <v>853336.41</v>
      </c>
      <c r="D241" s="27">
        <v>895004.5</v>
      </c>
      <c r="E241" s="27">
        <v>903060.23</v>
      </c>
      <c r="F241" s="2">
        <f t="shared" si="8"/>
        <v>892087.68333333323</v>
      </c>
      <c r="G241" s="9">
        <f t="shared" si="7"/>
        <v>7.3822544844449382E-5</v>
      </c>
    </row>
    <row r="242" spans="1:7" outlineLevel="1">
      <c r="A242" s="1" t="s">
        <v>391</v>
      </c>
      <c r="B242" s="1" t="s">
        <v>392</v>
      </c>
      <c r="C242" s="27">
        <v>16612230.57</v>
      </c>
      <c r="D242" s="27">
        <v>17708651.91</v>
      </c>
      <c r="E242" s="27">
        <v>19810055.059999999</v>
      </c>
      <c r="F242" s="2">
        <f t="shared" si="8"/>
        <v>18576616.594999999</v>
      </c>
      <c r="G242" s="9">
        <f t="shared" si="7"/>
        <v>1.5372626898269921E-3</v>
      </c>
    </row>
    <row r="243" spans="1:7" outlineLevel="1">
      <c r="A243" s="1" t="s">
        <v>393</v>
      </c>
      <c r="B243" s="1" t="s">
        <v>394</v>
      </c>
      <c r="C243" s="27">
        <v>4064556.02</v>
      </c>
      <c r="D243" s="27">
        <v>4186912.66</v>
      </c>
      <c r="E243" s="27">
        <v>4803924.78</v>
      </c>
      <c r="F243" s="2">
        <f t="shared" si="8"/>
        <v>4475025.9466666663</v>
      </c>
      <c r="G243" s="9">
        <f t="shared" si="7"/>
        <v>3.7031987976055778E-4</v>
      </c>
    </row>
    <row r="244" spans="1:7" outlineLevel="1">
      <c r="A244" s="1" t="s">
        <v>395</v>
      </c>
      <c r="B244" s="1" t="s">
        <v>396</v>
      </c>
      <c r="C244" s="27">
        <v>930213.93</v>
      </c>
      <c r="D244" s="27">
        <v>928095.62</v>
      </c>
      <c r="E244" s="27">
        <v>998785.2</v>
      </c>
      <c r="F244" s="2">
        <f t="shared" si="8"/>
        <v>963793.46166666655</v>
      </c>
      <c r="G244" s="9">
        <f t="shared" si="7"/>
        <v>7.9756381994671192E-5</v>
      </c>
    </row>
    <row r="245" spans="1:7" outlineLevel="1">
      <c r="A245" s="1" t="s">
        <v>397</v>
      </c>
      <c r="B245" s="1" t="s">
        <v>398</v>
      </c>
      <c r="C245" s="27">
        <v>4627074.26</v>
      </c>
      <c r="D245" s="27">
        <v>5536271.0300000003</v>
      </c>
      <c r="E245" s="27">
        <v>6615086.8099999996</v>
      </c>
      <c r="F245" s="2">
        <f t="shared" si="8"/>
        <v>5924146.125</v>
      </c>
      <c r="G245" s="9">
        <f t="shared" si="7"/>
        <v>4.9023829288143052E-4</v>
      </c>
    </row>
    <row r="246" spans="1:7" outlineLevel="1">
      <c r="A246" s="1" t="s">
        <v>399</v>
      </c>
      <c r="B246" s="1" t="s">
        <v>400</v>
      </c>
      <c r="C246" s="27">
        <v>9099318.5099999998</v>
      </c>
      <c r="D246" s="27">
        <v>9403110.8100000005</v>
      </c>
      <c r="E246" s="27">
        <v>10256489.52</v>
      </c>
      <c r="F246" s="2">
        <f t="shared" si="8"/>
        <v>9779168.1150000002</v>
      </c>
      <c r="G246" s="9">
        <f t="shared" si="7"/>
        <v>8.0925125433129277E-4</v>
      </c>
    </row>
    <row r="247" spans="1:7" outlineLevel="1">
      <c r="A247" s="1" t="s">
        <v>401</v>
      </c>
      <c r="B247" s="1" t="s">
        <v>402</v>
      </c>
      <c r="C247" s="27">
        <v>539175.01</v>
      </c>
      <c r="D247" s="27">
        <v>585848.18000000005</v>
      </c>
      <c r="E247" s="27">
        <v>607882.81000000006</v>
      </c>
      <c r="F247" s="2">
        <f t="shared" si="8"/>
        <v>589086.63333333342</v>
      </c>
      <c r="G247" s="9">
        <f t="shared" si="7"/>
        <v>4.8748430472687337E-5</v>
      </c>
    </row>
    <row r="248" spans="1:7" outlineLevel="1">
      <c r="A248" s="1" t="s">
        <v>403</v>
      </c>
      <c r="B248" s="1" t="s">
        <v>404</v>
      </c>
      <c r="C248" s="27">
        <v>2050539.7</v>
      </c>
      <c r="D248" s="27">
        <v>2316178.25</v>
      </c>
      <c r="E248" s="27">
        <v>2415549.2799999998</v>
      </c>
      <c r="F248" s="2">
        <f t="shared" si="8"/>
        <v>2321590.6733333333</v>
      </c>
      <c r="G248" s="9">
        <f t="shared" si="7"/>
        <v>1.9211758529409743E-4</v>
      </c>
    </row>
    <row r="249" spans="1:7" outlineLevel="1">
      <c r="A249" s="1" t="s">
        <v>405</v>
      </c>
      <c r="B249" s="1" t="s">
        <v>406</v>
      </c>
      <c r="C249" s="27">
        <v>572528.07999999996</v>
      </c>
      <c r="D249" s="27">
        <v>647207.97</v>
      </c>
      <c r="E249" s="27">
        <v>717296.72</v>
      </c>
      <c r="F249" s="2">
        <f t="shared" si="8"/>
        <v>669805.69666666666</v>
      </c>
      <c r="G249" s="9">
        <f t="shared" si="7"/>
        <v>5.5428140084259648E-5</v>
      </c>
    </row>
    <row r="250" spans="1:7" outlineLevel="1">
      <c r="A250" s="1" t="s">
        <v>407</v>
      </c>
      <c r="B250" s="1" t="s">
        <v>408</v>
      </c>
      <c r="C250" s="27">
        <v>544586.56000000006</v>
      </c>
      <c r="D250" s="27">
        <v>562970.99</v>
      </c>
      <c r="E250" s="27">
        <v>602715</v>
      </c>
      <c r="F250" s="2">
        <f t="shared" si="8"/>
        <v>579778.92333333334</v>
      </c>
      <c r="G250" s="9">
        <f t="shared" si="7"/>
        <v>4.7978193587108245E-5</v>
      </c>
    </row>
    <row r="251" spans="1:7" outlineLevel="1">
      <c r="A251" s="1" t="s">
        <v>409</v>
      </c>
      <c r="B251" s="1" t="s">
        <v>410</v>
      </c>
      <c r="C251" s="27">
        <v>2420879.81</v>
      </c>
      <c r="D251" s="27">
        <v>2473653.64</v>
      </c>
      <c r="E251" s="27">
        <v>2698938.99</v>
      </c>
      <c r="F251" s="2">
        <f t="shared" si="8"/>
        <v>2577500.6766666668</v>
      </c>
      <c r="G251" s="9">
        <f t="shared" si="7"/>
        <v>2.1329479472112091E-4</v>
      </c>
    </row>
    <row r="252" spans="1:7" outlineLevel="1">
      <c r="A252" s="1" t="s">
        <v>411</v>
      </c>
      <c r="B252" s="1" t="s">
        <v>412</v>
      </c>
      <c r="C252" s="27">
        <v>1135144.97</v>
      </c>
      <c r="D252" s="27">
        <v>1151425.8899999999</v>
      </c>
      <c r="E252" s="27">
        <v>1343925.21</v>
      </c>
      <c r="F252" s="2">
        <f t="shared" si="8"/>
        <v>1244962.0633333332</v>
      </c>
      <c r="G252" s="9">
        <f t="shared" si="7"/>
        <v>1.030238052459715E-4</v>
      </c>
    </row>
    <row r="253" spans="1:7" outlineLevel="1">
      <c r="A253" s="1" t="s">
        <v>413</v>
      </c>
      <c r="B253" s="1" t="s">
        <v>414</v>
      </c>
      <c r="C253" s="27">
        <v>1797835.67</v>
      </c>
      <c r="D253" s="27">
        <v>1788420.63</v>
      </c>
      <c r="E253" s="27">
        <v>2234162.71</v>
      </c>
      <c r="F253" s="2">
        <f t="shared" si="8"/>
        <v>2012860.843333333</v>
      </c>
      <c r="G253" s="9">
        <f t="shared" si="7"/>
        <v>1.6656939967759656E-4</v>
      </c>
    </row>
    <row r="254" spans="1:7" outlineLevel="1">
      <c r="A254" s="1" t="s">
        <v>415</v>
      </c>
      <c r="B254" s="1" t="s">
        <v>416</v>
      </c>
      <c r="C254" s="27">
        <v>52133.72</v>
      </c>
      <c r="D254" s="27">
        <v>82259.48</v>
      </c>
      <c r="E254" s="27">
        <v>119887.49</v>
      </c>
      <c r="F254" s="2">
        <f t="shared" si="8"/>
        <v>96052.525000000009</v>
      </c>
      <c r="G254" s="9">
        <f t="shared" si="7"/>
        <v>7.9485929093200641E-6</v>
      </c>
    </row>
    <row r="255" spans="1:7" outlineLevel="1">
      <c r="A255" s="1" t="s">
        <v>417</v>
      </c>
      <c r="B255" s="1" t="s">
        <v>418</v>
      </c>
      <c r="C255" s="27">
        <v>1189539.46</v>
      </c>
      <c r="D255" s="27">
        <v>978166.31</v>
      </c>
      <c r="E255" s="27">
        <v>1136702.06</v>
      </c>
      <c r="F255" s="2">
        <f t="shared" si="8"/>
        <v>1092663.0433333332</v>
      </c>
      <c r="G255" s="9">
        <f t="shared" si="7"/>
        <v>9.0420670549945612E-5</v>
      </c>
    </row>
    <row r="256" spans="1:7" outlineLevel="1">
      <c r="A256" s="1" t="s">
        <v>419</v>
      </c>
      <c r="B256" s="1" t="s">
        <v>420</v>
      </c>
      <c r="C256" s="27">
        <v>270719.87</v>
      </c>
      <c r="D256" s="27">
        <v>287162.23</v>
      </c>
      <c r="E256" s="27">
        <v>271451.2</v>
      </c>
      <c r="F256" s="2">
        <f t="shared" si="8"/>
        <v>276566.32166666671</v>
      </c>
      <c r="G256" s="9">
        <f t="shared" si="7"/>
        <v>2.2886572772099421E-5</v>
      </c>
    </row>
    <row r="257" spans="1:9" outlineLevel="1">
      <c r="A257" s="1" t="s">
        <v>421</v>
      </c>
      <c r="B257" s="1" t="s">
        <v>422</v>
      </c>
      <c r="C257" s="27">
        <v>3103118.1</v>
      </c>
      <c r="D257" s="27">
        <v>3731862.77</v>
      </c>
      <c r="E257" s="27">
        <v>4428895.62</v>
      </c>
      <c r="F257" s="2">
        <f t="shared" si="8"/>
        <v>3975588.4166666665</v>
      </c>
      <c r="G257" s="9">
        <f t="shared" si="7"/>
        <v>3.2899014262344114E-4</v>
      </c>
    </row>
    <row r="258" spans="1:9" outlineLevel="1">
      <c r="A258" s="1" t="s">
        <v>423</v>
      </c>
      <c r="B258" s="1" t="s">
        <v>424</v>
      </c>
      <c r="C258" s="27">
        <v>107312.67</v>
      </c>
      <c r="D258" s="27">
        <v>87494.75</v>
      </c>
      <c r="E258" s="27">
        <v>82857.36</v>
      </c>
      <c r="F258" s="2">
        <f t="shared" si="8"/>
        <v>88479.041666666672</v>
      </c>
      <c r="G258" s="9">
        <f t="shared" si="7"/>
        <v>7.3218677303392204E-6</v>
      </c>
    </row>
    <row r="259" spans="1:9" outlineLevel="1">
      <c r="A259" s="1" t="s">
        <v>549</v>
      </c>
      <c r="B259" s="1" t="s">
        <v>550</v>
      </c>
      <c r="C259" s="27">
        <v>1198854.2</v>
      </c>
      <c r="D259" s="27">
        <v>1130536.8400000001</v>
      </c>
      <c r="E259" s="27">
        <v>1308947.46</v>
      </c>
      <c r="F259" s="2">
        <f t="shared" si="8"/>
        <v>1231128.3766666667</v>
      </c>
      <c r="G259" s="9">
        <f t="shared" si="7"/>
        <v>1.0187903217781508E-4</v>
      </c>
    </row>
    <row r="260" spans="1:9" outlineLevel="1">
      <c r="A260" s="1" t="s">
        <v>425</v>
      </c>
      <c r="B260" s="1" t="s">
        <v>426</v>
      </c>
      <c r="C260" s="27">
        <v>365962.27</v>
      </c>
      <c r="D260" s="27">
        <v>380386.59</v>
      </c>
      <c r="E260" s="27">
        <v>410444.59</v>
      </c>
      <c r="F260" s="2">
        <f t="shared" si="8"/>
        <v>393011.53666666668</v>
      </c>
      <c r="G260" s="9">
        <f t="shared" si="7"/>
        <v>3.2522713105456092E-5</v>
      </c>
    </row>
    <row r="261" spans="1:9" outlineLevel="1">
      <c r="A261" s="1" t="s">
        <v>427</v>
      </c>
      <c r="B261" s="1" t="s">
        <v>428</v>
      </c>
      <c r="C261" s="71">
        <v>347546.9</v>
      </c>
      <c r="D261" s="77">
        <v>358671.58</v>
      </c>
      <c r="E261" s="77">
        <v>368904.91</v>
      </c>
      <c r="F261" s="2">
        <f t="shared" si="8"/>
        <v>361934.13166666665</v>
      </c>
      <c r="G261" s="9">
        <f t="shared" ref="G261" si="9">+F261/$F$264</f>
        <v>2.995097809877024E-5</v>
      </c>
    </row>
    <row r="262" spans="1:9">
      <c r="B262" s="1" t="s">
        <v>472</v>
      </c>
      <c r="C262" s="37">
        <f>SUBTOTAL(9,C140:C261)</f>
        <v>247484152.98000008</v>
      </c>
      <c r="D262" s="37">
        <f>SUBTOTAL(9,D140:D261)</f>
        <v>269655345.56999981</v>
      </c>
      <c r="E262" s="37">
        <f>SUBTOTAL(9,E140:E261)</f>
        <v>296499301.43999994</v>
      </c>
      <c r="F262" s="38">
        <f>SUBTOTAL(9,F140:F261)</f>
        <v>279382124.74000007</v>
      </c>
      <c r="G262" s="9">
        <f>SUBTOTAL(9,G140:G261)</f>
        <v>2.3119587701615721E-2</v>
      </c>
    </row>
    <row r="263" spans="1:9">
      <c r="C263" s="5"/>
      <c r="D263" s="5"/>
      <c r="E263" s="22"/>
      <c r="F263" s="2"/>
    </row>
    <row r="264" spans="1:9" ht="13.5" thickBot="1">
      <c r="C264" s="73">
        <f>SUBTOTAL(9,C5:C263)</f>
        <v>10655369639.220009</v>
      </c>
      <c r="D264" s="73">
        <f>SUBTOTAL(9,D5:D263)</f>
        <v>11629112120.540001</v>
      </c>
      <c r="E264" s="73">
        <f>SUBTOTAL(9,E5:E263)</f>
        <v>12857303251.349991</v>
      </c>
      <c r="F264" s="15">
        <f>SUBTOTAL(9,F5:F263)</f>
        <v>12084217432.669664</v>
      </c>
      <c r="G264" s="39">
        <f>SUBTOTAL(9,G5:G261)</f>
        <v>1.0000000000000011</v>
      </c>
    </row>
    <row r="265" spans="1:9" ht="13.5" thickTop="1"/>
    <row r="266" spans="1:9">
      <c r="C266" s="1"/>
      <c r="D266" s="1"/>
      <c r="E266" s="1"/>
      <c r="F266" s="36"/>
      <c r="G266" s="1"/>
      <c r="I266" s="1"/>
    </row>
    <row r="267" spans="1:9">
      <c r="C267" s="2"/>
      <c r="D267" s="1"/>
      <c r="E267" s="1"/>
      <c r="F267" s="36"/>
      <c r="G267" s="1"/>
      <c r="I267" s="1"/>
    </row>
    <row r="268" spans="1:9">
      <c r="C268" s="1"/>
      <c r="D268" s="1"/>
      <c r="E268" s="1"/>
      <c r="F268" s="36"/>
      <c r="G268" s="1"/>
      <c r="I268" s="1"/>
    </row>
    <row r="269" spans="1:9">
      <c r="C269" s="1"/>
      <c r="D269" s="1"/>
      <c r="E269" s="1"/>
      <c r="F269" s="36"/>
      <c r="G269" s="1"/>
      <c r="I269" s="1"/>
    </row>
    <row r="270" spans="1:9">
      <c r="C270" s="1"/>
      <c r="D270" s="1"/>
      <c r="E270" s="1"/>
      <c r="F270" s="36"/>
      <c r="G270" s="1"/>
      <c r="I270" s="1"/>
    </row>
    <row r="271" spans="1:9">
      <c r="C271" s="1"/>
      <c r="D271" s="1"/>
      <c r="E271" s="1"/>
      <c r="F271" s="36"/>
      <c r="G271" s="1"/>
      <c r="I271" s="1"/>
    </row>
    <row r="272" spans="1:9">
      <c r="C272" s="1"/>
      <c r="D272" s="1"/>
      <c r="E272" s="1"/>
      <c r="F272" s="36"/>
      <c r="G272" s="1"/>
      <c r="I272" s="1"/>
    </row>
    <row r="273" spans="3:9">
      <c r="C273" s="1"/>
      <c r="D273" s="1"/>
      <c r="E273" s="1"/>
      <c r="F273" s="36"/>
      <c r="G273" s="1"/>
      <c r="I273" s="1"/>
    </row>
    <row r="274" spans="3:9">
      <c r="I274" s="1"/>
    </row>
    <row r="275" spans="3:9">
      <c r="I275" s="1"/>
    </row>
    <row r="276" spans="3:9">
      <c r="I276" s="1"/>
    </row>
    <row r="277" spans="3:9">
      <c r="I277" s="1"/>
    </row>
  </sheetData>
  <sortState xmlns:xlrd2="http://schemas.microsoft.com/office/spreadsheetml/2017/richdata2" ref="A140:K261">
    <sortCondition ref="A140:A261"/>
  </sortState>
  <phoneticPr fontId="5" type="noConversion"/>
  <printOptions horizontalCentered="1"/>
  <pageMargins left="0.25" right="0.25" top="0.95" bottom="0.5" header="0.5" footer="0.25"/>
  <pageSetup scale="78" fitToHeight="6" orientation="landscape" horizontalDpi="200" verticalDpi="200" r:id="rId1"/>
  <headerFooter alignWithMargins="0">
    <oddHeader>&amp;C&amp;"Arial,Bold"&amp;14State Office of Risk Management
FY 2026  Assessment Amounts</oddHeader>
    <oddFooter>&amp;L &amp;D&amp;CPage &amp;P of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I273"/>
  <sheetViews>
    <sheetView view="pageBreakPreview" zoomScaleNormal="100" zoomScaleSheetLayoutView="100" workbookViewId="0"/>
  </sheetViews>
  <sheetFormatPr defaultColWidth="9.140625" defaultRowHeight="12.75" outlineLevelRow="1"/>
  <cols>
    <col min="1" max="1" width="5.28515625" style="1" customWidth="1"/>
    <col min="2" max="2" width="51.5703125" style="1" customWidth="1"/>
    <col min="3" max="11" width="10.42578125" style="11" customWidth="1"/>
    <col min="12" max="12" width="10.85546875" style="11" bestFit="1" customWidth="1"/>
    <col min="13" max="13" width="10.85546875" style="11" customWidth="1"/>
    <col min="14" max="16" width="10.42578125" style="11" customWidth="1"/>
    <col min="17" max="17" width="10.85546875" style="11" bestFit="1" customWidth="1"/>
    <col min="18" max="18" width="10.7109375" style="1" bestFit="1" customWidth="1"/>
    <col min="19" max="19" width="2.140625" style="1" customWidth="1"/>
    <col min="20" max="20" width="9" style="1" customWidth="1"/>
    <col min="21" max="21" width="2.140625" style="1" customWidth="1"/>
    <col min="22" max="23" width="8.5703125" style="1" customWidth="1"/>
    <col min="24" max="24" width="8.5703125" style="1" bestFit="1" customWidth="1"/>
    <col min="25" max="25" width="1.5703125" style="1" customWidth="1"/>
    <col min="26" max="28" width="7.28515625" style="1" bestFit="1" customWidth="1"/>
    <col min="29" max="29" width="2.5703125" style="1" customWidth="1"/>
    <col min="30" max="16384" width="9.140625" style="1"/>
  </cols>
  <sheetData>
    <row r="1" spans="1:35">
      <c r="T1" s="12" t="s">
        <v>436</v>
      </c>
      <c r="Z1" s="12"/>
      <c r="AA1" s="12"/>
      <c r="AB1" s="12"/>
      <c r="AC1" s="12"/>
      <c r="AD1" s="12" t="s">
        <v>431</v>
      </c>
    </row>
    <row r="2" spans="1:35">
      <c r="A2" s="12" t="s">
        <v>449</v>
      </c>
      <c r="B2" s="19"/>
      <c r="C2" s="79">
        <v>2022</v>
      </c>
      <c r="D2" s="80"/>
      <c r="E2" s="80"/>
      <c r="F2" s="80"/>
      <c r="G2" s="12" t="s">
        <v>564</v>
      </c>
      <c r="H2" s="79">
        <v>2023</v>
      </c>
      <c r="I2" s="80"/>
      <c r="J2" s="80"/>
      <c r="K2" s="80"/>
      <c r="L2" s="12" t="s">
        <v>586</v>
      </c>
      <c r="M2" s="79">
        <v>2024</v>
      </c>
      <c r="N2" s="80"/>
      <c r="O2" s="80"/>
      <c r="P2" s="80"/>
      <c r="Q2" s="12" t="s">
        <v>594</v>
      </c>
      <c r="R2" s="12" t="s">
        <v>435</v>
      </c>
      <c r="S2" s="12"/>
      <c r="T2" s="12" t="s">
        <v>3</v>
      </c>
      <c r="U2" s="12"/>
      <c r="V2" s="12" t="s">
        <v>563</v>
      </c>
      <c r="W2" s="12" t="s">
        <v>585</v>
      </c>
      <c r="X2" s="12" t="s">
        <v>593</v>
      </c>
      <c r="Y2" s="12"/>
      <c r="Z2" s="12" t="s">
        <v>563</v>
      </c>
      <c r="AA2" s="12" t="s">
        <v>585</v>
      </c>
      <c r="AB2" s="12" t="s">
        <v>593</v>
      </c>
      <c r="AC2" s="12"/>
      <c r="AD2" s="12" t="s">
        <v>435</v>
      </c>
      <c r="AE2" s="12"/>
      <c r="AF2" s="12"/>
      <c r="AG2" s="12"/>
    </row>
    <row r="3" spans="1:35">
      <c r="A3" s="13" t="s">
        <v>447</v>
      </c>
      <c r="B3" s="13" t="s">
        <v>448</v>
      </c>
      <c r="C3" s="13" t="s">
        <v>451</v>
      </c>
      <c r="D3" s="81" t="s">
        <v>452</v>
      </c>
      <c r="E3" s="81" t="s">
        <v>453</v>
      </c>
      <c r="F3" s="81" t="s">
        <v>454</v>
      </c>
      <c r="G3" s="13" t="s">
        <v>436</v>
      </c>
      <c r="H3" s="13" t="s">
        <v>451</v>
      </c>
      <c r="I3" s="81" t="s">
        <v>452</v>
      </c>
      <c r="J3" s="81" t="s">
        <v>453</v>
      </c>
      <c r="K3" s="81" t="s">
        <v>454</v>
      </c>
      <c r="L3" s="13" t="s">
        <v>436</v>
      </c>
      <c r="M3" s="13" t="s">
        <v>451</v>
      </c>
      <c r="N3" s="81" t="s">
        <v>452</v>
      </c>
      <c r="O3" s="81" t="s">
        <v>453</v>
      </c>
      <c r="P3" s="81" t="s">
        <v>454</v>
      </c>
      <c r="Q3" s="13" t="s">
        <v>436</v>
      </c>
      <c r="R3" s="13" t="s">
        <v>467</v>
      </c>
      <c r="S3" s="13"/>
      <c r="T3" s="13" t="s">
        <v>5</v>
      </c>
      <c r="U3" s="13"/>
      <c r="V3" s="13" t="s">
        <v>437</v>
      </c>
      <c r="W3" s="13" t="s">
        <v>437</v>
      </c>
      <c r="X3" s="13" t="s">
        <v>437</v>
      </c>
      <c r="Y3" s="13"/>
      <c r="Z3" s="13" t="s">
        <v>2</v>
      </c>
      <c r="AA3" s="13" t="s">
        <v>2</v>
      </c>
      <c r="AB3" s="13" t="s">
        <v>2</v>
      </c>
      <c r="AC3" s="13"/>
      <c r="AD3" s="13" t="s">
        <v>438</v>
      </c>
      <c r="AE3" s="13"/>
      <c r="AF3" s="13"/>
      <c r="AG3" s="13"/>
      <c r="AH3" s="13"/>
      <c r="AI3" s="13"/>
    </row>
    <row r="4" spans="1:35" ht="3" customHeight="1"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10"/>
      <c r="Z4" s="7"/>
      <c r="AA4" s="7"/>
      <c r="AB4" s="7"/>
      <c r="AD4" s="7"/>
    </row>
    <row r="5" spans="1:35">
      <c r="A5" s="1" t="s">
        <v>7</v>
      </c>
      <c r="B5" s="1" t="s">
        <v>500</v>
      </c>
      <c r="C5" s="82">
        <v>474.3</v>
      </c>
      <c r="D5" s="83">
        <v>451.7</v>
      </c>
      <c r="E5" s="83">
        <v>440.5</v>
      </c>
      <c r="F5" s="83">
        <v>444.5</v>
      </c>
      <c r="G5" s="5">
        <f>AVERAGE(C5:F5)</f>
        <v>452.75</v>
      </c>
      <c r="H5" s="82">
        <v>439.1</v>
      </c>
      <c r="I5" s="83">
        <v>507.4</v>
      </c>
      <c r="J5" s="83">
        <v>561.1</v>
      </c>
      <c r="K5" s="83">
        <v>525.79999999999995</v>
      </c>
      <c r="L5" s="5">
        <f>AVERAGE(H5:K5)</f>
        <v>508.34999999999997</v>
      </c>
      <c r="M5" s="82">
        <v>500.6</v>
      </c>
      <c r="N5" s="83">
        <v>493.2</v>
      </c>
      <c r="O5" s="83">
        <v>478.9</v>
      </c>
      <c r="P5" s="83">
        <v>492.6</v>
      </c>
      <c r="Q5" s="5">
        <f>AVERAGE(M5:P5)</f>
        <v>491.32499999999993</v>
      </c>
      <c r="R5" s="2">
        <f>IF(G5&gt;0,(+G5+(L5*2)+(Q5*3))/6,IF(L5&gt;0,((L5*2)+(Q5*3))/5,Q5))</f>
        <v>490.57083333333327</v>
      </c>
      <c r="T5" s="7">
        <f t="shared" ref="T5:T68" si="0">+R5/$R$264</f>
        <v>2.7010774687655816E-3</v>
      </c>
      <c r="V5" s="40">
        <f>claims!D5</f>
        <v>0</v>
      </c>
      <c r="W5" s="40">
        <f>claims!E5</f>
        <v>0</v>
      </c>
      <c r="X5" s="40">
        <f>claims!F5</f>
        <v>0</v>
      </c>
      <c r="Z5" s="7">
        <f t="shared" ref="Z5:Z68" si="1">IF(G5&gt;100,IF(V5&lt;1,0,+V5/G5),IF(V5&lt;1,0,+V5/100))</f>
        <v>0</v>
      </c>
      <c r="AA5" s="7">
        <f t="shared" ref="AA5:AA68" si="2">IF(L5&gt;100,IF(W5&lt;1,0,+W5/L5),IF(W5&lt;1,0,+W5/100))</f>
        <v>0</v>
      </c>
      <c r="AB5" s="7">
        <f>IF(Q5&gt;100,IF(X5&lt;1,0,+X5/Q5),IF(X5&lt;1,0,+X5/100))</f>
        <v>0</v>
      </c>
      <c r="AD5" s="7">
        <f t="shared" ref="AD5:AD68" si="3">(+Z5+(AA5*2)+(AB5*3))/6</f>
        <v>0</v>
      </c>
      <c r="AF5" s="10"/>
      <c r="AG5" s="10"/>
      <c r="AH5" s="10"/>
      <c r="AI5" s="10"/>
    </row>
    <row r="6" spans="1:35">
      <c r="A6" s="1" t="s">
        <v>8</v>
      </c>
      <c r="B6" s="1" t="s">
        <v>501</v>
      </c>
      <c r="C6" s="84">
        <v>715.6</v>
      </c>
      <c r="D6" s="27">
        <v>686.2</v>
      </c>
      <c r="E6" s="27">
        <v>663.8</v>
      </c>
      <c r="F6" s="27">
        <v>676.8</v>
      </c>
      <c r="G6" s="5">
        <f t="shared" ref="G6:G68" si="4">AVERAGE(C6:F6)</f>
        <v>685.60000000000014</v>
      </c>
      <c r="H6" s="84">
        <v>715.8</v>
      </c>
      <c r="I6" s="27">
        <v>686.6</v>
      </c>
      <c r="J6" s="27">
        <v>664.1</v>
      </c>
      <c r="K6" s="27">
        <v>676.8</v>
      </c>
      <c r="L6" s="5">
        <f t="shared" ref="L6:L68" si="5">AVERAGE(H6:K6)</f>
        <v>685.82500000000005</v>
      </c>
      <c r="M6" s="84">
        <v>764.5</v>
      </c>
      <c r="N6" s="27">
        <v>754.7</v>
      </c>
      <c r="O6" s="27">
        <v>744.1</v>
      </c>
      <c r="P6" s="27">
        <v>761.4</v>
      </c>
      <c r="Q6" s="5">
        <f t="shared" ref="Q6:Q68" si="6">AVERAGE(M6:P6)</f>
        <v>756.17500000000007</v>
      </c>
      <c r="R6" s="2">
        <f t="shared" ref="R6:R68" si="7">IF(G6&gt;0,(+G6+(L6*2)+(Q6*3))/6,IF(L6&gt;0,((L6*2)+(Q6*3))/5,Q6))</f>
        <v>720.96249999999998</v>
      </c>
      <c r="T6" s="7">
        <f t="shared" si="0"/>
        <v>3.9696113838298694E-3</v>
      </c>
      <c r="V6" s="40">
        <f>claims!D6</f>
        <v>1</v>
      </c>
      <c r="W6" s="40">
        <f>claims!E6</f>
        <v>1</v>
      </c>
      <c r="X6" s="40">
        <f>claims!F6</f>
        <v>1</v>
      </c>
      <c r="Z6" s="7">
        <f t="shared" si="1"/>
        <v>1.4585764294049006E-3</v>
      </c>
      <c r="AA6" s="7">
        <f t="shared" si="2"/>
        <v>1.4580979112747421E-3</v>
      </c>
      <c r="AB6" s="7">
        <f t="shared" ref="AB6:AB69" si="8">IF(Q6&gt;100,IF(X6&lt;1,0,+X6/Q6),IF(X6&lt;1,0,+X6/100))</f>
        <v>1.3224452011769761E-3</v>
      </c>
      <c r="AD6" s="7">
        <f t="shared" si="3"/>
        <v>1.390351309247552E-3</v>
      </c>
      <c r="AF6" s="10"/>
      <c r="AG6" s="10"/>
      <c r="AH6" s="10"/>
      <c r="AI6" s="10"/>
    </row>
    <row r="7" spans="1:35">
      <c r="A7" s="1" t="s">
        <v>9</v>
      </c>
      <c r="B7" s="1" t="s">
        <v>10</v>
      </c>
      <c r="C7" s="84">
        <v>359</v>
      </c>
      <c r="D7" s="27">
        <v>362</v>
      </c>
      <c r="E7" s="27">
        <v>363</v>
      </c>
      <c r="F7" s="27">
        <v>364</v>
      </c>
      <c r="G7" s="5">
        <f t="shared" si="4"/>
        <v>362</v>
      </c>
      <c r="H7" s="84">
        <v>379</v>
      </c>
      <c r="I7" s="27">
        <v>403</v>
      </c>
      <c r="J7" s="27">
        <v>402</v>
      </c>
      <c r="K7" s="27">
        <v>378</v>
      </c>
      <c r="L7" s="5">
        <f t="shared" si="5"/>
        <v>390.5</v>
      </c>
      <c r="M7" s="84">
        <v>370</v>
      </c>
      <c r="N7" s="27">
        <v>371</v>
      </c>
      <c r="O7" s="27">
        <v>373</v>
      </c>
      <c r="P7" s="27">
        <v>380.3</v>
      </c>
      <c r="Q7" s="5">
        <f t="shared" si="6"/>
        <v>373.57499999999999</v>
      </c>
      <c r="R7" s="2">
        <f t="shared" si="7"/>
        <v>377.28749999999997</v>
      </c>
      <c r="T7" s="7">
        <f t="shared" si="0"/>
        <v>2.0773407146373241E-3</v>
      </c>
      <c r="V7" s="40">
        <f>claims!D7</f>
        <v>0</v>
      </c>
      <c r="W7" s="40">
        <f>claims!E7</f>
        <v>0</v>
      </c>
      <c r="X7" s="40">
        <f>claims!F7</f>
        <v>0</v>
      </c>
      <c r="Z7" s="7">
        <f t="shared" si="1"/>
        <v>0</v>
      </c>
      <c r="AA7" s="7">
        <f t="shared" si="2"/>
        <v>0</v>
      </c>
      <c r="AB7" s="7">
        <f t="shared" si="8"/>
        <v>0</v>
      </c>
      <c r="AD7" s="7">
        <f t="shared" si="3"/>
        <v>0</v>
      </c>
      <c r="AF7" s="10"/>
      <c r="AG7" s="10"/>
      <c r="AH7" s="10"/>
      <c r="AI7" s="10"/>
    </row>
    <row r="8" spans="1:35">
      <c r="A8" s="1" t="s">
        <v>11</v>
      </c>
      <c r="B8" s="1" t="s">
        <v>12</v>
      </c>
      <c r="C8" s="84">
        <v>109</v>
      </c>
      <c r="D8" s="27">
        <v>110</v>
      </c>
      <c r="E8" s="27">
        <v>120</v>
      </c>
      <c r="F8" s="27">
        <v>127</v>
      </c>
      <c r="G8" s="5">
        <f t="shared" si="4"/>
        <v>116.5</v>
      </c>
      <c r="H8" s="84">
        <v>127</v>
      </c>
      <c r="I8" s="27">
        <v>124</v>
      </c>
      <c r="J8" s="27">
        <v>128</v>
      </c>
      <c r="K8" s="27">
        <v>128</v>
      </c>
      <c r="L8" s="5">
        <f t="shared" si="5"/>
        <v>126.75</v>
      </c>
      <c r="M8" s="84">
        <v>129</v>
      </c>
      <c r="N8" s="27">
        <v>129</v>
      </c>
      <c r="O8" s="27">
        <v>129</v>
      </c>
      <c r="P8" s="27">
        <v>132</v>
      </c>
      <c r="Q8" s="5">
        <f t="shared" si="6"/>
        <v>129.75</v>
      </c>
      <c r="R8" s="2">
        <f t="shared" si="7"/>
        <v>126.54166666666667</v>
      </c>
      <c r="T8" s="7">
        <f t="shared" si="0"/>
        <v>6.9673698774735829E-4</v>
      </c>
      <c r="V8" s="40">
        <f>claims!D8</f>
        <v>0</v>
      </c>
      <c r="W8" s="40">
        <f>claims!E8</f>
        <v>0</v>
      </c>
      <c r="X8" s="40">
        <f>claims!F8</f>
        <v>0</v>
      </c>
      <c r="Z8" s="7">
        <f>IF(G8&gt;100,IF(V8&lt;1,0,+V8/G8),IF(V8&lt;1,0,+V8/100))</f>
        <v>0</v>
      </c>
      <c r="AA8" s="7">
        <f t="shared" si="2"/>
        <v>0</v>
      </c>
      <c r="AB8" s="7">
        <f t="shared" si="8"/>
        <v>0</v>
      </c>
      <c r="AD8" s="7">
        <f>(+Z8+(AA8*2)+(AB8*3))/6</f>
        <v>0</v>
      </c>
      <c r="AF8" s="10"/>
      <c r="AG8" s="10"/>
      <c r="AH8" s="10"/>
      <c r="AI8" s="10"/>
    </row>
    <row r="9" spans="1:35">
      <c r="A9" s="1" t="s">
        <v>13</v>
      </c>
      <c r="B9" s="1" t="s">
        <v>14</v>
      </c>
      <c r="C9" s="84">
        <v>22.4</v>
      </c>
      <c r="D9" s="27">
        <v>23.2</v>
      </c>
      <c r="E9" s="27">
        <v>22.3</v>
      </c>
      <c r="F9" s="27">
        <v>22.3</v>
      </c>
      <c r="G9" s="5">
        <f t="shared" si="4"/>
        <v>22.549999999999997</v>
      </c>
      <c r="H9" s="84">
        <v>21</v>
      </c>
      <c r="I9" s="27">
        <v>22.5</v>
      </c>
      <c r="J9" s="27">
        <v>24.2</v>
      </c>
      <c r="K9" s="27">
        <v>23.6</v>
      </c>
      <c r="L9" s="5">
        <f t="shared" si="5"/>
        <v>22.825000000000003</v>
      </c>
      <c r="M9" s="84">
        <v>23.2</v>
      </c>
      <c r="N9" s="27">
        <v>22.4</v>
      </c>
      <c r="O9" s="27">
        <v>22.9</v>
      </c>
      <c r="P9" s="27">
        <v>24</v>
      </c>
      <c r="Q9" s="5">
        <f t="shared" si="6"/>
        <v>23.125</v>
      </c>
      <c r="R9" s="2">
        <f t="shared" si="7"/>
        <v>22.929166666666664</v>
      </c>
      <c r="T9" s="7">
        <f t="shared" si="0"/>
        <v>1.2624773274855819E-4</v>
      </c>
      <c r="V9" s="40">
        <f>claims!D9</f>
        <v>0</v>
      </c>
      <c r="W9" s="40">
        <f>claims!E9</f>
        <v>0</v>
      </c>
      <c r="X9" s="40">
        <f>claims!F9</f>
        <v>0</v>
      </c>
      <c r="Z9" s="7">
        <f t="shared" si="1"/>
        <v>0</v>
      </c>
      <c r="AA9" s="7">
        <f t="shared" si="2"/>
        <v>0</v>
      </c>
      <c r="AB9" s="7">
        <f t="shared" si="8"/>
        <v>0</v>
      </c>
      <c r="AD9" s="7">
        <f t="shared" si="3"/>
        <v>0</v>
      </c>
      <c r="AF9" s="10"/>
      <c r="AG9" s="10"/>
      <c r="AH9" s="10"/>
      <c r="AI9" s="10"/>
    </row>
    <row r="10" spans="1:35">
      <c r="A10" s="1" t="s">
        <v>15</v>
      </c>
      <c r="B10" s="1" t="s">
        <v>16</v>
      </c>
      <c r="C10" s="84">
        <v>28.2</v>
      </c>
      <c r="D10" s="27">
        <v>25</v>
      </c>
      <c r="E10" s="27">
        <v>24.7</v>
      </c>
      <c r="F10" s="27">
        <v>25.7</v>
      </c>
      <c r="G10" s="5">
        <f t="shared" si="4"/>
        <v>25.900000000000002</v>
      </c>
      <c r="H10" s="84">
        <v>24</v>
      </c>
      <c r="I10" s="27">
        <v>24</v>
      </c>
      <c r="J10" s="27">
        <v>23</v>
      </c>
      <c r="K10" s="27">
        <v>24.5</v>
      </c>
      <c r="L10" s="5">
        <f t="shared" si="5"/>
        <v>23.875</v>
      </c>
      <c r="M10" s="84">
        <v>30.3</v>
      </c>
      <c r="N10" s="27">
        <v>30.8</v>
      </c>
      <c r="O10" s="27">
        <v>32</v>
      </c>
      <c r="P10" s="27">
        <v>32.4</v>
      </c>
      <c r="Q10" s="5">
        <f t="shared" si="6"/>
        <v>31.375</v>
      </c>
      <c r="R10" s="2">
        <f t="shared" si="7"/>
        <v>27.962500000000002</v>
      </c>
      <c r="T10" s="7">
        <f t="shared" si="0"/>
        <v>1.5396120924506161E-4</v>
      </c>
      <c r="V10" s="40">
        <f>claims!D10</f>
        <v>0</v>
      </c>
      <c r="W10" s="40">
        <f>claims!E10</f>
        <v>0</v>
      </c>
      <c r="X10" s="40">
        <f>claims!F10</f>
        <v>0</v>
      </c>
      <c r="Z10" s="7">
        <f t="shared" si="1"/>
        <v>0</v>
      </c>
      <c r="AA10" s="7">
        <f t="shared" si="2"/>
        <v>0</v>
      </c>
      <c r="AB10" s="7">
        <f t="shared" si="8"/>
        <v>0</v>
      </c>
      <c r="AD10" s="7">
        <f t="shared" si="3"/>
        <v>0</v>
      </c>
      <c r="AF10" s="10"/>
      <c r="AG10" s="10"/>
      <c r="AH10" s="10"/>
      <c r="AI10" s="10"/>
    </row>
    <row r="11" spans="1:35">
      <c r="A11" s="1" t="s">
        <v>17</v>
      </c>
      <c r="B11" s="1" t="s">
        <v>18</v>
      </c>
      <c r="C11" s="84">
        <v>80.8</v>
      </c>
      <c r="D11" s="27">
        <v>82.3</v>
      </c>
      <c r="E11" s="27">
        <v>83.3</v>
      </c>
      <c r="F11" s="27">
        <v>80.599999999999994</v>
      </c>
      <c r="G11" s="5">
        <f t="shared" si="4"/>
        <v>81.75</v>
      </c>
      <c r="H11" s="84">
        <v>81.2</v>
      </c>
      <c r="I11" s="27">
        <v>82.1</v>
      </c>
      <c r="J11" s="27">
        <v>80.900000000000006</v>
      </c>
      <c r="K11" s="27">
        <v>79.900000000000006</v>
      </c>
      <c r="L11" s="5">
        <f t="shared" si="5"/>
        <v>81.025000000000006</v>
      </c>
      <c r="M11" s="84">
        <v>81.5</v>
      </c>
      <c r="N11" s="27">
        <v>82</v>
      </c>
      <c r="O11" s="27">
        <v>82</v>
      </c>
      <c r="P11" s="27">
        <v>79.3</v>
      </c>
      <c r="Q11" s="5">
        <f t="shared" si="6"/>
        <v>81.2</v>
      </c>
      <c r="R11" s="2">
        <f t="shared" si="7"/>
        <v>81.233333333333334</v>
      </c>
      <c r="T11" s="7">
        <f t="shared" si="0"/>
        <v>4.4726981603959487E-4</v>
      </c>
      <c r="V11" s="40">
        <f>claims!D11</f>
        <v>0</v>
      </c>
      <c r="W11" s="40">
        <f>claims!E11</f>
        <v>1</v>
      </c>
      <c r="X11" s="40">
        <f>claims!F11</f>
        <v>0</v>
      </c>
      <c r="Z11" s="7">
        <f t="shared" si="1"/>
        <v>0</v>
      </c>
      <c r="AA11" s="7">
        <f t="shared" si="2"/>
        <v>0.01</v>
      </c>
      <c r="AB11" s="7">
        <f t="shared" si="8"/>
        <v>0</v>
      </c>
      <c r="AD11" s="7">
        <f t="shared" si="3"/>
        <v>3.3333333333333335E-3</v>
      </c>
      <c r="AF11" s="10"/>
      <c r="AG11" s="10"/>
      <c r="AH11" s="10"/>
      <c r="AI11" s="10"/>
    </row>
    <row r="12" spans="1:35">
      <c r="A12" s="1" t="s">
        <v>19</v>
      </c>
      <c r="B12" s="1" t="s">
        <v>20</v>
      </c>
      <c r="C12" s="84">
        <v>20</v>
      </c>
      <c r="D12" s="27">
        <v>19</v>
      </c>
      <c r="E12" s="27">
        <v>23</v>
      </c>
      <c r="F12" s="27">
        <v>27</v>
      </c>
      <c r="G12" s="5">
        <f t="shared" si="4"/>
        <v>22.25</v>
      </c>
      <c r="H12" s="84">
        <v>20</v>
      </c>
      <c r="I12" s="27">
        <v>19.5</v>
      </c>
      <c r="J12" s="27">
        <v>20</v>
      </c>
      <c r="K12" s="27">
        <v>30</v>
      </c>
      <c r="L12" s="5">
        <f t="shared" si="5"/>
        <v>22.375</v>
      </c>
      <c r="M12" s="84">
        <v>20.5</v>
      </c>
      <c r="N12" s="27">
        <v>20.5</v>
      </c>
      <c r="O12" s="27">
        <v>24</v>
      </c>
      <c r="P12" s="27">
        <v>33</v>
      </c>
      <c r="Q12" s="5">
        <f t="shared" si="6"/>
        <v>24.5</v>
      </c>
      <c r="R12" s="2">
        <f t="shared" si="7"/>
        <v>23.416666666666668</v>
      </c>
      <c r="T12" s="7">
        <f t="shared" si="0"/>
        <v>1.2893190224366657E-4</v>
      </c>
      <c r="V12" s="40">
        <f>claims!D12</f>
        <v>0</v>
      </c>
      <c r="W12" s="40">
        <f>claims!E12</f>
        <v>0</v>
      </c>
      <c r="X12" s="40">
        <f>claims!F12</f>
        <v>0</v>
      </c>
      <c r="Z12" s="7">
        <f t="shared" si="1"/>
        <v>0</v>
      </c>
      <c r="AA12" s="7">
        <f t="shared" si="2"/>
        <v>0</v>
      </c>
      <c r="AB12" s="7">
        <f t="shared" si="8"/>
        <v>0</v>
      </c>
      <c r="AD12" s="7">
        <f t="shared" si="3"/>
        <v>0</v>
      </c>
      <c r="AF12" s="10"/>
      <c r="AG12" s="10"/>
      <c r="AH12" s="10"/>
      <c r="AI12" s="10"/>
    </row>
    <row r="13" spans="1:35">
      <c r="A13" s="1" t="s">
        <v>21</v>
      </c>
      <c r="B13" s="1" t="s">
        <v>22</v>
      </c>
      <c r="C13" s="84">
        <v>65.3</v>
      </c>
      <c r="D13" s="27">
        <v>64.2</v>
      </c>
      <c r="E13" s="27">
        <v>67.2</v>
      </c>
      <c r="F13" s="27">
        <v>62.6</v>
      </c>
      <c r="G13" s="5">
        <f t="shared" si="4"/>
        <v>64.825000000000003</v>
      </c>
      <c r="H13" s="84">
        <v>67.2</v>
      </c>
      <c r="I13" s="27">
        <v>68</v>
      </c>
      <c r="J13" s="27">
        <v>67.400000000000006</v>
      </c>
      <c r="K13" s="27">
        <v>64.2</v>
      </c>
      <c r="L13" s="5">
        <f t="shared" si="5"/>
        <v>66.7</v>
      </c>
      <c r="M13" s="84">
        <v>66.3</v>
      </c>
      <c r="N13" s="27">
        <v>68.7</v>
      </c>
      <c r="O13" s="27">
        <v>68.400000000000006</v>
      </c>
      <c r="P13" s="27">
        <v>62.8</v>
      </c>
      <c r="Q13" s="5">
        <f t="shared" si="6"/>
        <v>66.55</v>
      </c>
      <c r="R13" s="2">
        <f t="shared" si="7"/>
        <v>66.3125</v>
      </c>
      <c r="T13" s="7">
        <f t="shared" si="0"/>
        <v>3.6511587619358601E-4</v>
      </c>
      <c r="V13" s="40">
        <f>claims!D13</f>
        <v>0</v>
      </c>
      <c r="W13" s="40">
        <f>claims!E13</f>
        <v>0</v>
      </c>
      <c r="X13" s="40">
        <f>claims!F13</f>
        <v>0</v>
      </c>
      <c r="Z13" s="7">
        <f t="shared" si="1"/>
        <v>0</v>
      </c>
      <c r="AA13" s="7">
        <f t="shared" si="2"/>
        <v>0</v>
      </c>
      <c r="AB13" s="7">
        <f t="shared" si="8"/>
        <v>0</v>
      </c>
      <c r="AD13" s="7">
        <f t="shared" si="3"/>
        <v>0</v>
      </c>
      <c r="AF13" s="10"/>
      <c r="AG13" s="10"/>
      <c r="AH13" s="10"/>
      <c r="AI13" s="10"/>
    </row>
    <row r="14" spans="1:35">
      <c r="A14" s="1" t="s">
        <v>23</v>
      </c>
      <c r="B14" s="1" t="s">
        <v>24</v>
      </c>
      <c r="C14" s="84">
        <v>264.2</v>
      </c>
      <c r="D14" s="27">
        <v>272.2</v>
      </c>
      <c r="E14" s="27">
        <v>278.2</v>
      </c>
      <c r="F14" s="27">
        <v>281.2</v>
      </c>
      <c r="G14" s="5">
        <f t="shared" si="4"/>
        <v>273.95</v>
      </c>
      <c r="H14" s="84">
        <v>277.10000000000002</v>
      </c>
      <c r="I14" s="27">
        <v>281.10000000000002</v>
      </c>
      <c r="J14" s="27">
        <v>280.10000000000002</v>
      </c>
      <c r="K14" s="27">
        <v>278.2</v>
      </c>
      <c r="L14" s="5">
        <f t="shared" si="5"/>
        <v>279.125</v>
      </c>
      <c r="M14" s="84">
        <v>279</v>
      </c>
      <c r="N14" s="27">
        <v>282.60000000000002</v>
      </c>
      <c r="O14" s="27">
        <v>287.10000000000002</v>
      </c>
      <c r="P14" s="27">
        <v>290.2</v>
      </c>
      <c r="Q14" s="5">
        <f t="shared" si="6"/>
        <v>284.72500000000002</v>
      </c>
      <c r="R14" s="2">
        <f t="shared" si="7"/>
        <v>281.0625</v>
      </c>
      <c r="T14" s="7">
        <f t="shared" si="0"/>
        <v>1.5475269512182433E-3</v>
      </c>
      <c r="V14" s="40">
        <f>claims!D14</f>
        <v>0</v>
      </c>
      <c r="W14" s="40">
        <f>claims!E14</f>
        <v>0</v>
      </c>
      <c r="X14" s="40">
        <f>claims!F14</f>
        <v>0</v>
      </c>
      <c r="Z14" s="7">
        <f t="shared" si="1"/>
        <v>0</v>
      </c>
      <c r="AA14" s="7">
        <f t="shared" si="2"/>
        <v>0</v>
      </c>
      <c r="AB14" s="7">
        <f t="shared" si="8"/>
        <v>0</v>
      </c>
      <c r="AD14" s="7">
        <f t="shared" si="3"/>
        <v>0</v>
      </c>
      <c r="AF14" s="10"/>
      <c r="AG14" s="10"/>
      <c r="AH14" s="10"/>
      <c r="AI14" s="10"/>
    </row>
    <row r="15" spans="1:35">
      <c r="A15" s="1" t="s">
        <v>25</v>
      </c>
      <c r="B15" s="1" t="s">
        <v>26</v>
      </c>
      <c r="C15" s="84">
        <v>4</v>
      </c>
      <c r="D15" s="27">
        <v>4</v>
      </c>
      <c r="E15" s="27">
        <v>4</v>
      </c>
      <c r="F15" s="27">
        <v>4</v>
      </c>
      <c r="G15" s="5">
        <f t="shared" si="4"/>
        <v>4</v>
      </c>
      <c r="H15" s="84">
        <v>4</v>
      </c>
      <c r="I15" s="27">
        <v>4</v>
      </c>
      <c r="J15" s="27">
        <v>4</v>
      </c>
      <c r="K15" s="27">
        <v>4</v>
      </c>
      <c r="L15" s="5">
        <f t="shared" si="5"/>
        <v>4</v>
      </c>
      <c r="M15" s="84">
        <v>4</v>
      </c>
      <c r="N15" s="27">
        <v>4</v>
      </c>
      <c r="O15" s="27">
        <v>4</v>
      </c>
      <c r="P15" s="27">
        <v>4</v>
      </c>
      <c r="Q15" s="5">
        <f t="shared" si="6"/>
        <v>4</v>
      </c>
      <c r="R15" s="2">
        <f t="shared" si="7"/>
        <v>4</v>
      </c>
      <c r="T15" s="7">
        <f t="shared" si="0"/>
        <v>2.2023954831658342E-5</v>
      </c>
      <c r="V15" s="40">
        <f>claims!D15</f>
        <v>0</v>
      </c>
      <c r="W15" s="40">
        <f>claims!E15</f>
        <v>0</v>
      </c>
      <c r="X15" s="40">
        <f>claims!F15</f>
        <v>0</v>
      </c>
      <c r="Z15" s="7">
        <f t="shared" si="1"/>
        <v>0</v>
      </c>
      <c r="AA15" s="7">
        <f t="shared" si="2"/>
        <v>0</v>
      </c>
      <c r="AB15" s="7">
        <f t="shared" si="8"/>
        <v>0</v>
      </c>
      <c r="AD15" s="7">
        <f t="shared" si="3"/>
        <v>0</v>
      </c>
      <c r="AF15" s="10"/>
      <c r="AG15" s="10"/>
      <c r="AH15" s="10"/>
      <c r="AI15" s="10"/>
    </row>
    <row r="16" spans="1:35">
      <c r="A16" s="1" t="s">
        <v>532</v>
      </c>
      <c r="B16" s="1" t="s">
        <v>555</v>
      </c>
      <c r="C16" s="84">
        <v>22</v>
      </c>
      <c r="D16" s="27">
        <v>21.4</v>
      </c>
      <c r="E16" s="27">
        <v>22.3</v>
      </c>
      <c r="F16" s="27">
        <v>22.7</v>
      </c>
      <c r="G16" s="5">
        <f t="shared" si="4"/>
        <v>22.1</v>
      </c>
      <c r="H16" s="84">
        <v>21</v>
      </c>
      <c r="I16" s="27">
        <v>21.4</v>
      </c>
      <c r="J16" s="27">
        <v>20.6</v>
      </c>
      <c r="K16" s="27">
        <v>20.399999999999999</v>
      </c>
      <c r="L16" s="5">
        <f t="shared" si="5"/>
        <v>20.85</v>
      </c>
      <c r="M16" s="84">
        <v>22.3</v>
      </c>
      <c r="N16" s="27">
        <v>23.9</v>
      </c>
      <c r="O16" s="27">
        <v>26.2</v>
      </c>
      <c r="P16" s="27">
        <v>26</v>
      </c>
      <c r="Q16" s="5">
        <f t="shared" si="6"/>
        <v>24.6</v>
      </c>
      <c r="R16" s="2">
        <f t="shared" si="7"/>
        <v>22.933333333333337</v>
      </c>
      <c r="T16" s="7">
        <f t="shared" si="0"/>
        <v>1.2627067436817453E-4</v>
      </c>
      <c r="V16" s="40">
        <f>claims!D16</f>
        <v>0</v>
      </c>
      <c r="W16" s="40">
        <f>claims!E16</f>
        <v>0</v>
      </c>
      <c r="X16" s="40">
        <f>claims!F16</f>
        <v>0</v>
      </c>
      <c r="Z16" s="7">
        <f t="shared" si="1"/>
        <v>0</v>
      </c>
      <c r="AA16" s="7">
        <f t="shared" si="2"/>
        <v>0</v>
      </c>
      <c r="AB16" s="7">
        <f t="shared" si="8"/>
        <v>0</v>
      </c>
      <c r="AD16" s="7">
        <f t="shared" si="3"/>
        <v>0</v>
      </c>
      <c r="AF16" s="10"/>
      <c r="AG16" s="10"/>
      <c r="AH16" s="10"/>
      <c r="AI16" s="10"/>
    </row>
    <row r="17" spans="1:35">
      <c r="A17" s="1" t="s">
        <v>27</v>
      </c>
      <c r="B17" s="1" t="s">
        <v>502</v>
      </c>
      <c r="C17" s="84">
        <v>37.9</v>
      </c>
      <c r="D17" s="27">
        <v>38</v>
      </c>
      <c r="E17" s="27">
        <v>38</v>
      </c>
      <c r="F17" s="27">
        <v>37.9</v>
      </c>
      <c r="G17" s="5">
        <f t="shared" si="4"/>
        <v>37.950000000000003</v>
      </c>
      <c r="H17" s="84">
        <v>37</v>
      </c>
      <c r="I17" s="27">
        <v>37</v>
      </c>
      <c r="J17" s="27">
        <v>37.200000000000003</v>
      </c>
      <c r="K17" s="27">
        <v>37.5</v>
      </c>
      <c r="L17" s="5">
        <f t="shared" si="5"/>
        <v>37.174999999999997</v>
      </c>
      <c r="M17" s="84">
        <v>38.5</v>
      </c>
      <c r="N17" s="27">
        <v>39</v>
      </c>
      <c r="O17" s="27">
        <v>38.299999999999997</v>
      </c>
      <c r="P17" s="27">
        <v>40</v>
      </c>
      <c r="Q17" s="5">
        <f t="shared" si="6"/>
        <v>38.950000000000003</v>
      </c>
      <c r="R17" s="2">
        <f t="shared" si="7"/>
        <v>38.19166666666667</v>
      </c>
      <c r="T17" s="7">
        <f t="shared" si="0"/>
        <v>2.1028288540310457E-4</v>
      </c>
      <c r="V17" s="40">
        <f>claims!D17</f>
        <v>0</v>
      </c>
      <c r="W17" s="40">
        <f>claims!E17</f>
        <v>0</v>
      </c>
      <c r="X17" s="40">
        <f>claims!F17</f>
        <v>0</v>
      </c>
      <c r="Z17" s="7">
        <f t="shared" si="1"/>
        <v>0</v>
      </c>
      <c r="AA17" s="7">
        <f t="shared" si="2"/>
        <v>0</v>
      </c>
      <c r="AB17" s="7">
        <f t="shared" si="8"/>
        <v>0</v>
      </c>
      <c r="AD17" s="7">
        <f t="shared" si="3"/>
        <v>0</v>
      </c>
      <c r="AF17" s="10"/>
      <c r="AG17" s="10"/>
      <c r="AH17" s="10"/>
      <c r="AI17" s="10"/>
    </row>
    <row r="18" spans="1:35">
      <c r="A18" s="1" t="s">
        <v>28</v>
      </c>
      <c r="B18" s="1" t="s">
        <v>503</v>
      </c>
      <c r="C18" s="84">
        <v>34.5</v>
      </c>
      <c r="D18" s="27">
        <v>35.200000000000003</v>
      </c>
      <c r="E18" s="27">
        <v>34.1</v>
      </c>
      <c r="F18" s="27">
        <v>34.700000000000003</v>
      </c>
      <c r="G18" s="5">
        <f t="shared" si="4"/>
        <v>34.625</v>
      </c>
      <c r="H18" s="84">
        <v>34.799999999999997</v>
      </c>
      <c r="I18" s="27">
        <v>34.4</v>
      </c>
      <c r="J18" s="27">
        <v>35</v>
      </c>
      <c r="K18" s="27">
        <v>35.799999999999997</v>
      </c>
      <c r="L18" s="5">
        <f t="shared" si="5"/>
        <v>35</v>
      </c>
      <c r="M18" s="84">
        <v>35.200000000000003</v>
      </c>
      <c r="N18" s="27">
        <v>35.799999999999997</v>
      </c>
      <c r="O18" s="27">
        <v>35</v>
      </c>
      <c r="P18" s="27">
        <v>34.299999999999997</v>
      </c>
      <c r="Q18" s="5">
        <f t="shared" si="6"/>
        <v>35.075000000000003</v>
      </c>
      <c r="R18" s="2">
        <f t="shared" si="7"/>
        <v>34.975000000000001</v>
      </c>
      <c r="T18" s="7">
        <f t="shared" si="0"/>
        <v>1.9257195505931266E-4</v>
      </c>
      <c r="V18" s="40">
        <f>claims!D18</f>
        <v>0</v>
      </c>
      <c r="W18" s="40">
        <f>claims!E18</f>
        <v>1</v>
      </c>
      <c r="X18" s="40">
        <f>claims!F18</f>
        <v>0</v>
      </c>
      <c r="Z18" s="7">
        <f t="shared" si="1"/>
        <v>0</v>
      </c>
      <c r="AA18" s="7">
        <f t="shared" si="2"/>
        <v>0.01</v>
      </c>
      <c r="AB18" s="7">
        <f t="shared" si="8"/>
        <v>0</v>
      </c>
      <c r="AD18" s="7">
        <f t="shared" si="3"/>
        <v>3.3333333333333335E-3</v>
      </c>
      <c r="AF18" s="10"/>
      <c r="AG18" s="10"/>
      <c r="AH18" s="10"/>
      <c r="AI18" s="10"/>
    </row>
    <row r="19" spans="1:35">
      <c r="A19" s="1" t="s">
        <v>29</v>
      </c>
      <c r="B19" s="1" t="s">
        <v>504</v>
      </c>
      <c r="C19" s="84">
        <v>32</v>
      </c>
      <c r="D19" s="27">
        <v>32</v>
      </c>
      <c r="E19" s="27">
        <v>32</v>
      </c>
      <c r="F19" s="27">
        <v>31.5</v>
      </c>
      <c r="G19" s="5">
        <f t="shared" si="4"/>
        <v>31.875</v>
      </c>
      <c r="H19" s="84">
        <v>30.4</v>
      </c>
      <c r="I19" s="27">
        <v>30.6</v>
      </c>
      <c r="J19" s="27">
        <v>31.3</v>
      </c>
      <c r="K19" s="27">
        <v>32</v>
      </c>
      <c r="L19" s="5">
        <f t="shared" si="5"/>
        <v>31.074999999999999</v>
      </c>
      <c r="M19" s="84">
        <v>32</v>
      </c>
      <c r="N19" s="27">
        <v>32</v>
      </c>
      <c r="O19" s="27">
        <v>32</v>
      </c>
      <c r="P19" s="27">
        <v>32</v>
      </c>
      <c r="Q19" s="5">
        <f t="shared" si="6"/>
        <v>32</v>
      </c>
      <c r="R19" s="2">
        <f t="shared" si="7"/>
        <v>31.670833333333334</v>
      </c>
      <c r="T19" s="7">
        <f t="shared" si="0"/>
        <v>1.7437925070357821E-4</v>
      </c>
      <c r="V19" s="40">
        <f>claims!D19</f>
        <v>0</v>
      </c>
      <c r="W19" s="40">
        <f>claims!E19</f>
        <v>0</v>
      </c>
      <c r="X19" s="40">
        <f>claims!F19</f>
        <v>0</v>
      </c>
      <c r="Z19" s="7">
        <f t="shared" si="1"/>
        <v>0</v>
      </c>
      <c r="AA19" s="7">
        <f t="shared" si="2"/>
        <v>0</v>
      </c>
      <c r="AB19" s="7">
        <f t="shared" si="8"/>
        <v>0</v>
      </c>
      <c r="AD19" s="7">
        <f t="shared" si="3"/>
        <v>0</v>
      </c>
      <c r="AF19" s="10"/>
      <c r="AG19" s="10"/>
      <c r="AH19" s="10"/>
      <c r="AI19" s="10"/>
    </row>
    <row r="20" spans="1:35">
      <c r="A20" s="1" t="s">
        <v>30</v>
      </c>
      <c r="B20" s="1" t="s">
        <v>505</v>
      </c>
      <c r="C20" s="84">
        <v>32</v>
      </c>
      <c r="D20" s="27">
        <v>31</v>
      </c>
      <c r="E20" s="27">
        <v>31.1</v>
      </c>
      <c r="F20" s="27">
        <v>32</v>
      </c>
      <c r="G20" s="5">
        <f t="shared" si="4"/>
        <v>31.524999999999999</v>
      </c>
      <c r="H20" s="84">
        <v>32</v>
      </c>
      <c r="I20" s="27">
        <v>32.799999999999997</v>
      </c>
      <c r="J20" s="27">
        <v>33</v>
      </c>
      <c r="K20" s="27">
        <v>33</v>
      </c>
      <c r="L20" s="5">
        <f t="shared" si="5"/>
        <v>32.700000000000003</v>
      </c>
      <c r="M20" s="84">
        <v>33</v>
      </c>
      <c r="N20" s="27">
        <v>33.9</v>
      </c>
      <c r="O20" s="27">
        <v>33.4</v>
      </c>
      <c r="P20" s="27">
        <v>33.9</v>
      </c>
      <c r="Q20" s="5">
        <f t="shared" si="6"/>
        <v>33.550000000000004</v>
      </c>
      <c r="R20" s="2">
        <f t="shared" si="7"/>
        <v>32.929166666666667</v>
      </c>
      <c r="T20" s="7">
        <f t="shared" si="0"/>
        <v>1.8130761982770405E-4</v>
      </c>
      <c r="V20" s="40">
        <f>claims!D20</f>
        <v>0</v>
      </c>
      <c r="W20" s="40">
        <f>claims!E20</f>
        <v>0</v>
      </c>
      <c r="X20" s="40">
        <f>claims!F20</f>
        <v>0</v>
      </c>
      <c r="Z20" s="7">
        <f t="shared" si="1"/>
        <v>0</v>
      </c>
      <c r="AA20" s="7">
        <f t="shared" si="2"/>
        <v>0</v>
      </c>
      <c r="AB20" s="7">
        <f t="shared" si="8"/>
        <v>0</v>
      </c>
      <c r="AD20" s="7">
        <f t="shared" si="3"/>
        <v>0</v>
      </c>
      <c r="AF20" s="10"/>
      <c r="AG20" s="10"/>
      <c r="AH20" s="10"/>
      <c r="AI20" s="10"/>
    </row>
    <row r="21" spans="1:35">
      <c r="A21" s="1" t="s">
        <v>31</v>
      </c>
      <c r="B21" s="1" t="s">
        <v>506</v>
      </c>
      <c r="C21" s="84">
        <v>57.2</v>
      </c>
      <c r="D21" s="27">
        <v>54.9</v>
      </c>
      <c r="E21" s="27">
        <v>56.4</v>
      </c>
      <c r="F21" s="27">
        <v>55.9</v>
      </c>
      <c r="G21" s="5">
        <f t="shared" si="4"/>
        <v>56.1</v>
      </c>
      <c r="H21" s="84">
        <v>57.2</v>
      </c>
      <c r="I21" s="27">
        <v>54.9</v>
      </c>
      <c r="J21" s="27">
        <v>57</v>
      </c>
      <c r="K21" s="27">
        <v>55.9</v>
      </c>
      <c r="L21" s="5">
        <f t="shared" si="5"/>
        <v>56.25</v>
      </c>
      <c r="M21" s="84">
        <v>57.2</v>
      </c>
      <c r="N21" s="84">
        <v>57.2</v>
      </c>
      <c r="O21" s="84">
        <v>57.2</v>
      </c>
      <c r="P21" s="84">
        <v>57.2</v>
      </c>
      <c r="Q21" s="5">
        <f t="shared" si="6"/>
        <v>57.2</v>
      </c>
      <c r="R21" s="2">
        <f t="shared" si="7"/>
        <v>56.70000000000001</v>
      </c>
      <c r="T21" s="7">
        <f t="shared" si="0"/>
        <v>3.1218955973875707E-4</v>
      </c>
      <c r="V21" s="40">
        <f>claims!D21</f>
        <v>0</v>
      </c>
      <c r="W21" s="40">
        <f>claims!E21</f>
        <v>0</v>
      </c>
      <c r="X21" s="40">
        <f>claims!F21</f>
        <v>0</v>
      </c>
      <c r="Z21" s="7">
        <f t="shared" si="1"/>
        <v>0</v>
      </c>
      <c r="AA21" s="7">
        <f t="shared" si="2"/>
        <v>0</v>
      </c>
      <c r="AB21" s="7">
        <f t="shared" si="8"/>
        <v>0</v>
      </c>
      <c r="AD21" s="7">
        <f t="shared" si="3"/>
        <v>0</v>
      </c>
      <c r="AF21" s="10"/>
      <c r="AG21" s="10"/>
      <c r="AH21" s="10"/>
      <c r="AI21" s="10"/>
    </row>
    <row r="22" spans="1:35">
      <c r="A22" s="1" t="s">
        <v>32</v>
      </c>
      <c r="B22" s="1" t="s">
        <v>507</v>
      </c>
      <c r="C22" s="84">
        <v>15</v>
      </c>
      <c r="D22" s="27">
        <v>14.7</v>
      </c>
      <c r="E22" s="27">
        <v>14.3</v>
      </c>
      <c r="F22" s="27">
        <v>15</v>
      </c>
      <c r="G22" s="5">
        <f t="shared" si="4"/>
        <v>14.75</v>
      </c>
      <c r="H22" s="84">
        <v>15</v>
      </c>
      <c r="I22" s="27">
        <v>14.3</v>
      </c>
      <c r="J22" s="27">
        <v>14.7</v>
      </c>
      <c r="K22" s="27">
        <v>14.7</v>
      </c>
      <c r="L22" s="5">
        <f t="shared" si="5"/>
        <v>14.675000000000001</v>
      </c>
      <c r="M22" s="84">
        <v>14.7</v>
      </c>
      <c r="N22" s="27">
        <v>15</v>
      </c>
      <c r="O22" s="27">
        <v>14.8</v>
      </c>
      <c r="P22" s="27">
        <v>14</v>
      </c>
      <c r="Q22" s="5">
        <f t="shared" si="6"/>
        <v>14.625</v>
      </c>
      <c r="R22" s="2">
        <f t="shared" si="7"/>
        <v>14.6625</v>
      </c>
      <c r="T22" s="7">
        <f t="shared" si="0"/>
        <v>8.0731559429797622E-5</v>
      </c>
      <c r="V22" s="40">
        <f>claims!D22</f>
        <v>0</v>
      </c>
      <c r="W22" s="40">
        <f>claims!E22</f>
        <v>0</v>
      </c>
      <c r="X22" s="40">
        <f>claims!F22</f>
        <v>0</v>
      </c>
      <c r="Z22" s="7">
        <f t="shared" si="1"/>
        <v>0</v>
      </c>
      <c r="AA22" s="7">
        <f t="shared" si="2"/>
        <v>0</v>
      </c>
      <c r="AB22" s="7">
        <f t="shared" si="8"/>
        <v>0</v>
      </c>
      <c r="AD22" s="7">
        <f t="shared" si="3"/>
        <v>0</v>
      </c>
      <c r="AF22" s="10"/>
      <c r="AG22" s="10"/>
      <c r="AH22" s="10"/>
      <c r="AI22" s="10"/>
    </row>
    <row r="23" spans="1:35">
      <c r="A23" s="1" t="s">
        <v>33</v>
      </c>
      <c r="B23" s="1" t="s">
        <v>508</v>
      </c>
      <c r="C23" s="84">
        <v>17</v>
      </c>
      <c r="D23" s="27">
        <v>16.5</v>
      </c>
      <c r="E23" s="27">
        <v>16</v>
      </c>
      <c r="F23" s="27">
        <v>15</v>
      </c>
      <c r="G23" s="5">
        <f t="shared" si="4"/>
        <v>16.125</v>
      </c>
      <c r="H23" s="84">
        <v>16</v>
      </c>
      <c r="I23" s="27">
        <v>16.2</v>
      </c>
      <c r="J23" s="27">
        <v>17</v>
      </c>
      <c r="K23" s="27">
        <v>17</v>
      </c>
      <c r="L23" s="5">
        <f t="shared" si="5"/>
        <v>16.55</v>
      </c>
      <c r="M23" s="84">
        <v>17</v>
      </c>
      <c r="N23" s="27">
        <v>17</v>
      </c>
      <c r="O23" s="27">
        <v>17</v>
      </c>
      <c r="P23" s="27">
        <v>17.3</v>
      </c>
      <c r="Q23" s="5">
        <f t="shared" si="6"/>
        <v>17.074999999999999</v>
      </c>
      <c r="R23" s="2">
        <f t="shared" si="7"/>
        <v>16.741666666666664</v>
      </c>
      <c r="T23" s="7">
        <f t="shared" si="0"/>
        <v>9.2179427618336682E-5</v>
      </c>
      <c r="V23" s="40">
        <f>claims!D23</f>
        <v>0</v>
      </c>
      <c r="W23" s="40">
        <f>claims!E23</f>
        <v>0</v>
      </c>
      <c r="X23" s="40">
        <f>claims!F23</f>
        <v>0</v>
      </c>
      <c r="Z23" s="7">
        <f t="shared" si="1"/>
        <v>0</v>
      </c>
      <c r="AA23" s="7">
        <f t="shared" si="2"/>
        <v>0</v>
      </c>
      <c r="AB23" s="7">
        <f t="shared" si="8"/>
        <v>0</v>
      </c>
      <c r="AD23" s="7">
        <f t="shared" si="3"/>
        <v>0</v>
      </c>
      <c r="AF23" s="10"/>
      <c r="AG23" s="10"/>
      <c r="AH23" s="10"/>
      <c r="AI23" s="10"/>
    </row>
    <row r="24" spans="1:35">
      <c r="A24" s="1" t="s">
        <v>34</v>
      </c>
      <c r="B24" s="1" t="s">
        <v>509</v>
      </c>
      <c r="C24" s="84">
        <v>17.7</v>
      </c>
      <c r="D24" s="27">
        <v>15.1</v>
      </c>
      <c r="E24" s="27">
        <v>15.8</v>
      </c>
      <c r="F24" s="27">
        <v>14.8</v>
      </c>
      <c r="G24" s="5">
        <f t="shared" si="4"/>
        <v>15.849999999999998</v>
      </c>
      <c r="H24" s="84">
        <v>17.7</v>
      </c>
      <c r="I24" s="27">
        <v>17.5</v>
      </c>
      <c r="J24" s="27">
        <v>17</v>
      </c>
      <c r="K24" s="27">
        <v>17.100000000000001</v>
      </c>
      <c r="L24" s="5">
        <f t="shared" si="5"/>
        <v>17.325000000000003</v>
      </c>
      <c r="M24" s="84">
        <v>16</v>
      </c>
      <c r="N24" s="27">
        <v>17.399999999999999</v>
      </c>
      <c r="O24" s="27">
        <v>18.3</v>
      </c>
      <c r="P24" s="27">
        <v>18.399999999999999</v>
      </c>
      <c r="Q24" s="5">
        <f t="shared" si="6"/>
        <v>17.524999999999999</v>
      </c>
      <c r="R24" s="2">
        <f t="shared" si="7"/>
        <v>17.179166666666664</v>
      </c>
      <c r="T24" s="7">
        <f t="shared" si="0"/>
        <v>9.4588297678049307E-5</v>
      </c>
      <c r="V24" s="40">
        <f>claims!D24</f>
        <v>0</v>
      </c>
      <c r="W24" s="40">
        <f>claims!E24</f>
        <v>0</v>
      </c>
      <c r="X24" s="40">
        <f>claims!F24</f>
        <v>0</v>
      </c>
      <c r="Z24" s="7">
        <f t="shared" si="1"/>
        <v>0</v>
      </c>
      <c r="AA24" s="7">
        <f t="shared" si="2"/>
        <v>0</v>
      </c>
      <c r="AB24" s="7">
        <f t="shared" si="8"/>
        <v>0</v>
      </c>
      <c r="AD24" s="7">
        <f t="shared" si="3"/>
        <v>0</v>
      </c>
      <c r="AF24" s="10"/>
      <c r="AG24" s="10"/>
      <c r="AH24" s="10"/>
      <c r="AI24" s="10"/>
    </row>
    <row r="25" spans="1:35">
      <c r="A25" s="1" t="s">
        <v>35</v>
      </c>
      <c r="B25" s="1" t="s">
        <v>510</v>
      </c>
      <c r="C25" s="84">
        <v>18</v>
      </c>
      <c r="D25" s="27">
        <v>18</v>
      </c>
      <c r="E25" s="27">
        <v>18.3</v>
      </c>
      <c r="F25" s="27">
        <v>19</v>
      </c>
      <c r="G25" s="5">
        <f t="shared" si="4"/>
        <v>18.324999999999999</v>
      </c>
      <c r="H25" s="84">
        <v>19</v>
      </c>
      <c r="I25" s="27">
        <v>19</v>
      </c>
      <c r="J25" s="27">
        <v>19</v>
      </c>
      <c r="K25" s="27">
        <v>19</v>
      </c>
      <c r="L25" s="5">
        <f t="shared" si="5"/>
        <v>19</v>
      </c>
      <c r="M25" s="84">
        <v>19</v>
      </c>
      <c r="N25" s="27">
        <v>19</v>
      </c>
      <c r="O25" s="27">
        <v>19</v>
      </c>
      <c r="P25" s="27">
        <v>19</v>
      </c>
      <c r="Q25" s="5">
        <f t="shared" si="6"/>
        <v>19</v>
      </c>
      <c r="R25" s="2">
        <f t="shared" si="7"/>
        <v>18.887499999999999</v>
      </c>
      <c r="T25" s="7">
        <f t="shared" si="0"/>
        <v>1.0399436172073675E-4</v>
      </c>
      <c r="V25" s="40">
        <f>claims!D25</f>
        <v>0</v>
      </c>
      <c r="W25" s="40">
        <f>claims!E25</f>
        <v>1</v>
      </c>
      <c r="X25" s="40">
        <f>claims!F25</f>
        <v>0</v>
      </c>
      <c r="Z25" s="7">
        <f t="shared" si="1"/>
        <v>0</v>
      </c>
      <c r="AA25" s="7">
        <f t="shared" si="2"/>
        <v>0.01</v>
      </c>
      <c r="AB25" s="7">
        <f t="shared" si="8"/>
        <v>0</v>
      </c>
      <c r="AD25" s="7">
        <f t="shared" si="3"/>
        <v>3.3333333333333335E-3</v>
      </c>
      <c r="AF25" s="10"/>
      <c r="AG25" s="10"/>
      <c r="AH25" s="10"/>
      <c r="AI25" s="10"/>
    </row>
    <row r="26" spans="1:35">
      <c r="A26" s="1" t="s">
        <v>36</v>
      </c>
      <c r="B26" s="1" t="s">
        <v>511</v>
      </c>
      <c r="C26" s="84">
        <v>14.3</v>
      </c>
      <c r="D26" s="27">
        <v>14</v>
      </c>
      <c r="E26" s="27">
        <v>14</v>
      </c>
      <c r="F26" s="27">
        <v>14</v>
      </c>
      <c r="G26" s="5">
        <f t="shared" si="4"/>
        <v>14.074999999999999</v>
      </c>
      <c r="H26" s="84">
        <v>14</v>
      </c>
      <c r="I26" s="27">
        <v>15</v>
      </c>
      <c r="J26" s="27">
        <v>14</v>
      </c>
      <c r="K26" s="27">
        <v>14</v>
      </c>
      <c r="L26" s="5">
        <f t="shared" si="5"/>
        <v>14.25</v>
      </c>
      <c r="M26" s="84">
        <v>13.9</v>
      </c>
      <c r="N26" s="27">
        <v>15</v>
      </c>
      <c r="O26" s="27">
        <v>14.4</v>
      </c>
      <c r="P26" s="27">
        <v>14</v>
      </c>
      <c r="Q26" s="5">
        <f t="shared" si="6"/>
        <v>14.324999999999999</v>
      </c>
      <c r="R26" s="2">
        <f t="shared" si="7"/>
        <v>14.258333333333333</v>
      </c>
      <c r="T26" s="7">
        <f t="shared" si="0"/>
        <v>7.8506222327015464E-5</v>
      </c>
      <c r="V26" s="40">
        <f>claims!D26</f>
        <v>0</v>
      </c>
      <c r="W26" s="40">
        <f>claims!E26</f>
        <v>0</v>
      </c>
      <c r="X26" s="40">
        <f>claims!F26</f>
        <v>0</v>
      </c>
      <c r="Z26" s="7">
        <f t="shared" si="1"/>
        <v>0</v>
      </c>
      <c r="AA26" s="7">
        <f t="shared" si="2"/>
        <v>0</v>
      </c>
      <c r="AB26" s="7">
        <f t="shared" si="8"/>
        <v>0</v>
      </c>
      <c r="AD26" s="7">
        <f t="shared" si="3"/>
        <v>0</v>
      </c>
      <c r="AF26" s="10"/>
      <c r="AG26" s="10"/>
      <c r="AH26" s="10"/>
      <c r="AI26" s="10"/>
    </row>
    <row r="27" spans="1:35">
      <c r="A27" s="1" t="s">
        <v>37</v>
      </c>
      <c r="B27" s="1" t="s">
        <v>512</v>
      </c>
      <c r="C27" s="84">
        <v>18</v>
      </c>
      <c r="D27" s="27">
        <v>17.7</v>
      </c>
      <c r="E27" s="27">
        <v>16.7</v>
      </c>
      <c r="F27" s="27">
        <v>16.8</v>
      </c>
      <c r="G27" s="5">
        <f t="shared" si="4"/>
        <v>17.3</v>
      </c>
      <c r="H27" s="84">
        <v>16.600000000000001</v>
      </c>
      <c r="I27" s="27">
        <v>17.5</v>
      </c>
      <c r="J27" s="27">
        <v>17.5</v>
      </c>
      <c r="K27" s="27">
        <v>16.5</v>
      </c>
      <c r="L27" s="5">
        <f t="shared" si="5"/>
        <v>17.024999999999999</v>
      </c>
      <c r="M27" s="84">
        <v>17.100000000000001</v>
      </c>
      <c r="N27" s="27">
        <v>17.5</v>
      </c>
      <c r="O27" s="27">
        <v>17.600000000000001</v>
      </c>
      <c r="P27" s="27">
        <v>18.600000000000001</v>
      </c>
      <c r="Q27" s="5">
        <f t="shared" si="6"/>
        <v>17.700000000000003</v>
      </c>
      <c r="R27" s="2">
        <f t="shared" si="7"/>
        <v>17.408333333333335</v>
      </c>
      <c r="T27" s="7">
        <f t="shared" si="0"/>
        <v>9.5850086756946434E-5</v>
      </c>
      <c r="V27" s="40">
        <f>claims!D27</f>
        <v>0</v>
      </c>
      <c r="W27" s="40">
        <f>claims!E27</f>
        <v>0</v>
      </c>
      <c r="X27" s="40">
        <f>claims!F27</f>
        <v>0</v>
      </c>
      <c r="Z27" s="7">
        <f t="shared" si="1"/>
        <v>0</v>
      </c>
      <c r="AA27" s="7">
        <f t="shared" si="2"/>
        <v>0</v>
      </c>
      <c r="AB27" s="7">
        <f t="shared" si="8"/>
        <v>0</v>
      </c>
      <c r="AD27" s="7">
        <f t="shared" si="3"/>
        <v>0</v>
      </c>
      <c r="AF27" s="10"/>
      <c r="AG27" s="10"/>
      <c r="AH27" s="10"/>
      <c r="AI27" s="10"/>
    </row>
    <row r="28" spans="1:35">
      <c r="A28" s="1" t="s">
        <v>38</v>
      </c>
      <c r="B28" s="1" t="s">
        <v>513</v>
      </c>
      <c r="C28" s="84">
        <v>15</v>
      </c>
      <c r="D28" s="27">
        <v>15</v>
      </c>
      <c r="E28" s="27">
        <v>15</v>
      </c>
      <c r="F28" s="27">
        <v>15</v>
      </c>
      <c r="G28" s="5">
        <f t="shared" si="4"/>
        <v>15</v>
      </c>
      <c r="H28" s="84">
        <v>15</v>
      </c>
      <c r="I28" s="27">
        <v>13</v>
      </c>
      <c r="J28" s="27">
        <v>14</v>
      </c>
      <c r="K28" s="27">
        <v>15</v>
      </c>
      <c r="L28" s="5">
        <f t="shared" si="5"/>
        <v>14.25</v>
      </c>
      <c r="M28" s="84">
        <v>14</v>
      </c>
      <c r="N28" s="27">
        <v>14</v>
      </c>
      <c r="O28" s="27">
        <v>14</v>
      </c>
      <c r="P28" s="27">
        <v>14</v>
      </c>
      <c r="Q28" s="5">
        <f t="shared" si="6"/>
        <v>14</v>
      </c>
      <c r="R28" s="2">
        <f t="shared" si="7"/>
        <v>14.25</v>
      </c>
      <c r="T28" s="7">
        <f t="shared" si="0"/>
        <v>7.8460339087782854E-5</v>
      </c>
      <c r="V28" s="40">
        <f>claims!D28</f>
        <v>0</v>
      </c>
      <c r="W28" s="40">
        <f>claims!E28</f>
        <v>0</v>
      </c>
      <c r="X28" s="40">
        <f>claims!F28</f>
        <v>0</v>
      </c>
      <c r="Z28" s="7">
        <f t="shared" si="1"/>
        <v>0</v>
      </c>
      <c r="AA28" s="7">
        <f t="shared" si="2"/>
        <v>0</v>
      </c>
      <c r="AB28" s="7">
        <f t="shared" si="8"/>
        <v>0</v>
      </c>
      <c r="AD28" s="7">
        <f t="shared" si="3"/>
        <v>0</v>
      </c>
      <c r="AF28" s="10"/>
      <c r="AG28" s="10"/>
      <c r="AH28" s="10"/>
      <c r="AI28" s="10"/>
    </row>
    <row r="29" spans="1:35">
      <c r="A29" s="1" t="s">
        <v>39</v>
      </c>
      <c r="B29" s="1" t="s">
        <v>514</v>
      </c>
      <c r="C29" s="84">
        <v>28.7</v>
      </c>
      <c r="D29" s="27">
        <v>28.6</v>
      </c>
      <c r="E29" s="27">
        <v>28.7</v>
      </c>
      <c r="F29" s="27">
        <v>29</v>
      </c>
      <c r="G29" s="5">
        <f t="shared" si="4"/>
        <v>28.75</v>
      </c>
      <c r="H29" s="84">
        <v>27.3</v>
      </c>
      <c r="I29" s="27">
        <v>29.1</v>
      </c>
      <c r="J29" s="27">
        <v>28.7</v>
      </c>
      <c r="K29" s="27">
        <v>27.9</v>
      </c>
      <c r="L29" s="5">
        <f t="shared" si="5"/>
        <v>28.25</v>
      </c>
      <c r="M29" s="84">
        <v>29</v>
      </c>
      <c r="N29" s="27">
        <v>29</v>
      </c>
      <c r="O29" s="27">
        <v>29</v>
      </c>
      <c r="P29" s="27">
        <v>28.1</v>
      </c>
      <c r="Q29" s="5">
        <f t="shared" si="6"/>
        <v>28.774999999999999</v>
      </c>
      <c r="R29" s="2">
        <f t="shared" si="7"/>
        <v>28.595833333333331</v>
      </c>
      <c r="T29" s="7">
        <f t="shared" si="0"/>
        <v>1.5744833542674083E-4</v>
      </c>
      <c r="V29" s="40">
        <f>claims!D29</f>
        <v>0</v>
      </c>
      <c r="W29" s="40">
        <f>claims!E29</f>
        <v>0</v>
      </c>
      <c r="X29" s="40">
        <f>claims!F29</f>
        <v>0</v>
      </c>
      <c r="Z29" s="7">
        <f t="shared" si="1"/>
        <v>0</v>
      </c>
      <c r="AA29" s="7">
        <f t="shared" si="2"/>
        <v>0</v>
      </c>
      <c r="AB29" s="7">
        <f t="shared" si="8"/>
        <v>0</v>
      </c>
      <c r="AD29" s="7">
        <f t="shared" si="3"/>
        <v>0</v>
      </c>
      <c r="AF29" s="10"/>
      <c r="AG29" s="10"/>
      <c r="AH29" s="10"/>
      <c r="AI29" s="10"/>
    </row>
    <row r="30" spans="1:35">
      <c r="A30" s="1" t="s">
        <v>40</v>
      </c>
      <c r="B30" s="1" t="s">
        <v>515</v>
      </c>
      <c r="C30" s="84">
        <v>41</v>
      </c>
      <c r="D30" s="27">
        <v>40.9</v>
      </c>
      <c r="E30" s="27">
        <v>40.4</v>
      </c>
      <c r="F30" s="27">
        <v>40</v>
      </c>
      <c r="G30" s="5">
        <f t="shared" si="4"/>
        <v>40.575000000000003</v>
      </c>
      <c r="H30" s="84">
        <v>39.200000000000003</v>
      </c>
      <c r="I30" s="27">
        <v>39.4</v>
      </c>
      <c r="J30" s="27">
        <v>38.799999999999997</v>
      </c>
      <c r="K30" s="27">
        <v>39.200000000000003</v>
      </c>
      <c r="L30" s="5">
        <f t="shared" si="5"/>
        <v>39.15</v>
      </c>
      <c r="M30" s="84">
        <v>42.4</v>
      </c>
      <c r="N30" s="27">
        <v>41.9</v>
      </c>
      <c r="O30" s="27">
        <v>41.9</v>
      </c>
      <c r="P30" s="27">
        <v>41.2</v>
      </c>
      <c r="Q30" s="5">
        <f t="shared" si="6"/>
        <v>41.849999999999994</v>
      </c>
      <c r="R30" s="2">
        <f>IF(G30&gt;0,(+G30+(L30*2)+(Q30*3))/6,IF(L30&gt;0,((L30*2)+(Q30*3))/5,Q30))</f>
        <v>40.737499999999997</v>
      </c>
      <c r="T30" s="7">
        <f t="shared" si="0"/>
        <v>2.2430021498867042E-4</v>
      </c>
      <c r="V30" s="40">
        <f>claims!D30</f>
        <v>0</v>
      </c>
      <c r="W30" s="40">
        <f>claims!E30</f>
        <v>0</v>
      </c>
      <c r="X30" s="40">
        <f>claims!F30</f>
        <v>0</v>
      </c>
      <c r="Z30" s="7">
        <f t="shared" si="1"/>
        <v>0</v>
      </c>
      <c r="AA30" s="7">
        <f t="shared" si="2"/>
        <v>0</v>
      </c>
      <c r="AB30" s="7">
        <f t="shared" si="8"/>
        <v>0</v>
      </c>
      <c r="AD30" s="7">
        <f t="shared" si="3"/>
        <v>0</v>
      </c>
      <c r="AF30" s="10"/>
      <c r="AG30" s="10"/>
      <c r="AH30" s="10"/>
      <c r="AI30" s="10"/>
    </row>
    <row r="31" spans="1:35">
      <c r="A31" s="48" t="s">
        <v>587</v>
      </c>
      <c r="B31" s="48" t="s">
        <v>588</v>
      </c>
      <c r="C31" s="84">
        <v>0</v>
      </c>
      <c r="D31" s="27">
        <v>0</v>
      </c>
      <c r="E31" s="27">
        <v>0</v>
      </c>
      <c r="F31" s="27">
        <v>0</v>
      </c>
      <c r="G31" s="5">
        <f t="shared" si="4"/>
        <v>0</v>
      </c>
      <c r="H31" s="84">
        <v>0</v>
      </c>
      <c r="I31" s="27">
        <v>0</v>
      </c>
      <c r="J31" s="27">
        <v>0</v>
      </c>
      <c r="K31" s="27">
        <v>0</v>
      </c>
      <c r="L31" s="5">
        <f t="shared" si="5"/>
        <v>0</v>
      </c>
      <c r="M31" s="84">
        <v>19</v>
      </c>
      <c r="N31" s="27">
        <v>19</v>
      </c>
      <c r="O31" s="27">
        <v>19</v>
      </c>
      <c r="P31" s="27">
        <v>19</v>
      </c>
      <c r="Q31" s="5">
        <f t="shared" si="6"/>
        <v>19</v>
      </c>
      <c r="R31" s="2">
        <f>IF(G31&gt;0,(+G31+(L31*2)+(Q31*3))/6,IF(L31&gt;0,((L31*2)+(Q31*3))/5,Q31))</f>
        <v>19</v>
      </c>
      <c r="T31" s="7">
        <f t="shared" si="0"/>
        <v>1.0461378545037714E-4</v>
      </c>
      <c r="V31" s="40">
        <f>claims!D31</f>
        <v>0</v>
      </c>
      <c r="W31" s="40">
        <f>claims!E31</f>
        <v>0</v>
      </c>
      <c r="X31" s="40">
        <f>claims!F31</f>
        <v>0</v>
      </c>
      <c r="Z31" s="7">
        <f t="shared" si="1"/>
        <v>0</v>
      </c>
      <c r="AA31" s="7">
        <f t="shared" si="2"/>
        <v>0</v>
      </c>
      <c r="AB31" s="7">
        <f t="shared" si="8"/>
        <v>0</v>
      </c>
      <c r="AD31" s="7">
        <f>(+Z31+(AA31*2)+(AB31*3))/6</f>
        <v>0</v>
      </c>
      <c r="AF31" s="10"/>
      <c r="AG31" s="10"/>
      <c r="AH31" s="10"/>
      <c r="AI31" s="10"/>
    </row>
    <row r="32" spans="1:35">
      <c r="A32" s="1" t="s">
        <v>41</v>
      </c>
      <c r="B32" s="1" t="s">
        <v>516</v>
      </c>
      <c r="C32" s="84">
        <v>643.5</v>
      </c>
      <c r="D32" s="27">
        <v>645</v>
      </c>
      <c r="E32" s="27">
        <v>646.70000000000005</v>
      </c>
      <c r="F32" s="27">
        <v>646.6</v>
      </c>
      <c r="G32" s="5">
        <f t="shared" si="4"/>
        <v>645.45000000000005</v>
      </c>
      <c r="H32" s="84">
        <v>648.5</v>
      </c>
      <c r="I32" s="27">
        <v>651.9</v>
      </c>
      <c r="J32" s="27">
        <v>655.20000000000005</v>
      </c>
      <c r="K32" s="27">
        <v>654.9</v>
      </c>
      <c r="L32" s="5">
        <f t="shared" si="5"/>
        <v>652.625</v>
      </c>
      <c r="M32" s="84">
        <v>645.9</v>
      </c>
      <c r="N32" s="27">
        <v>660.8</v>
      </c>
      <c r="O32" s="27">
        <v>662.7</v>
      </c>
      <c r="P32" s="27">
        <v>663</v>
      </c>
      <c r="Q32" s="5">
        <f t="shared" si="6"/>
        <v>658.09999999999991</v>
      </c>
      <c r="R32" s="2">
        <f t="shared" si="7"/>
        <v>654.16666666666663</v>
      </c>
      <c r="T32" s="7">
        <f t="shared" si="0"/>
        <v>3.6018342797607913E-3</v>
      </c>
      <c r="V32" s="40">
        <f>claims!D32</f>
        <v>1</v>
      </c>
      <c r="W32" s="40">
        <f>claims!E32</f>
        <v>0</v>
      </c>
      <c r="X32" s="40">
        <f>claims!F32</f>
        <v>0</v>
      </c>
      <c r="Z32" s="7">
        <f t="shared" si="1"/>
        <v>1.5493066852583469E-3</v>
      </c>
      <c r="AA32" s="7">
        <f t="shared" si="2"/>
        <v>0</v>
      </c>
      <c r="AB32" s="7">
        <f t="shared" si="8"/>
        <v>0</v>
      </c>
      <c r="AD32" s="7">
        <f t="shared" si="3"/>
        <v>2.5821778087639115E-4</v>
      </c>
      <c r="AF32" s="10"/>
      <c r="AG32" s="10"/>
      <c r="AH32" s="10"/>
      <c r="AI32" s="10"/>
    </row>
    <row r="33" spans="1:35">
      <c r="A33" s="1" t="s">
        <v>42</v>
      </c>
      <c r="B33" s="1" t="s">
        <v>43</v>
      </c>
      <c r="C33" s="84">
        <v>13.4</v>
      </c>
      <c r="D33" s="27">
        <v>14</v>
      </c>
      <c r="E33" s="27">
        <v>14</v>
      </c>
      <c r="F33" s="27">
        <v>13</v>
      </c>
      <c r="G33" s="5">
        <f t="shared" si="4"/>
        <v>13.6</v>
      </c>
      <c r="H33" s="84">
        <v>12.4</v>
      </c>
      <c r="I33" s="27">
        <v>13</v>
      </c>
      <c r="J33" s="27">
        <v>13</v>
      </c>
      <c r="K33" s="27">
        <v>13</v>
      </c>
      <c r="L33" s="5">
        <f t="shared" si="5"/>
        <v>12.85</v>
      </c>
      <c r="M33" s="84">
        <v>13</v>
      </c>
      <c r="N33" s="27">
        <v>12</v>
      </c>
      <c r="O33" s="27">
        <v>12</v>
      </c>
      <c r="P33" s="27">
        <v>12</v>
      </c>
      <c r="Q33" s="5">
        <f t="shared" si="6"/>
        <v>12.25</v>
      </c>
      <c r="R33" s="2">
        <f t="shared" si="7"/>
        <v>12.674999999999999</v>
      </c>
      <c r="T33" s="7">
        <f t="shared" si="0"/>
        <v>6.9788406872817369E-5</v>
      </c>
      <c r="V33" s="40">
        <f>claims!D33</f>
        <v>0</v>
      </c>
      <c r="W33" s="40">
        <f>claims!E33</f>
        <v>0</v>
      </c>
      <c r="X33" s="40">
        <f>claims!F33</f>
        <v>0</v>
      </c>
      <c r="Z33" s="7">
        <f t="shared" si="1"/>
        <v>0</v>
      </c>
      <c r="AA33" s="7">
        <f t="shared" si="2"/>
        <v>0</v>
      </c>
      <c r="AB33" s="7">
        <f t="shared" si="8"/>
        <v>0</v>
      </c>
      <c r="AD33" s="7">
        <f t="shared" si="3"/>
        <v>0</v>
      </c>
      <c r="AF33" s="10"/>
      <c r="AG33" s="10"/>
      <c r="AH33" s="10"/>
      <c r="AI33" s="10"/>
    </row>
    <row r="34" spans="1:35">
      <c r="A34" s="1" t="s">
        <v>44</v>
      </c>
      <c r="B34" s="1" t="s">
        <v>45</v>
      </c>
      <c r="C34" s="84">
        <v>10</v>
      </c>
      <c r="D34" s="27">
        <v>9.1</v>
      </c>
      <c r="E34" s="27">
        <v>8.5</v>
      </c>
      <c r="F34" s="27">
        <v>9.3000000000000007</v>
      </c>
      <c r="G34" s="5">
        <f t="shared" si="4"/>
        <v>9.2250000000000014</v>
      </c>
      <c r="H34" s="84">
        <v>10</v>
      </c>
      <c r="I34" s="27">
        <v>10.9</v>
      </c>
      <c r="J34" s="27">
        <v>11.3</v>
      </c>
      <c r="K34" s="27">
        <v>10.8</v>
      </c>
      <c r="L34" s="5">
        <f t="shared" si="5"/>
        <v>10.75</v>
      </c>
      <c r="M34" s="84">
        <v>11</v>
      </c>
      <c r="N34" s="27">
        <v>11.5</v>
      </c>
      <c r="O34" s="27">
        <v>10.8</v>
      </c>
      <c r="P34" s="27">
        <v>11</v>
      </c>
      <c r="Q34" s="5">
        <f t="shared" si="6"/>
        <v>11.074999999999999</v>
      </c>
      <c r="R34" s="2">
        <f t="shared" si="7"/>
        <v>10.658333333333333</v>
      </c>
      <c r="T34" s="7">
        <f t="shared" si="0"/>
        <v>5.8684662978522961E-5</v>
      </c>
      <c r="V34" s="40">
        <f>claims!D34</f>
        <v>0</v>
      </c>
      <c r="W34" s="40">
        <f>claims!E34</f>
        <v>0</v>
      </c>
      <c r="X34" s="40">
        <f>claims!F34</f>
        <v>0</v>
      </c>
      <c r="Z34" s="7">
        <f t="shared" si="1"/>
        <v>0</v>
      </c>
      <c r="AA34" s="7">
        <f t="shared" si="2"/>
        <v>0</v>
      </c>
      <c r="AB34" s="7">
        <f t="shared" si="8"/>
        <v>0</v>
      </c>
      <c r="AD34" s="7">
        <f t="shared" si="3"/>
        <v>0</v>
      </c>
      <c r="AF34" s="10"/>
      <c r="AG34" s="10"/>
      <c r="AH34" s="10"/>
      <c r="AI34" s="10"/>
    </row>
    <row r="35" spans="1:35">
      <c r="A35" s="1" t="s">
        <v>46</v>
      </c>
      <c r="B35" s="1" t="s">
        <v>47</v>
      </c>
      <c r="C35" s="84">
        <f>171.8+86.7</f>
        <v>258.5</v>
      </c>
      <c r="D35" s="27">
        <f>167.9+85</f>
        <v>252.9</v>
      </c>
      <c r="E35" s="27">
        <f>171.5+82.8</f>
        <v>254.3</v>
      </c>
      <c r="F35" s="27">
        <f>165.4+89.4</f>
        <v>254.8</v>
      </c>
      <c r="G35" s="5">
        <f t="shared" si="4"/>
        <v>255.125</v>
      </c>
      <c r="H35" s="84">
        <f>165.2+86.8</f>
        <v>252</v>
      </c>
      <c r="I35" s="27">
        <f>166.8+100.5</f>
        <v>267.3</v>
      </c>
      <c r="J35" s="27">
        <f>174.6+106.4</f>
        <v>281</v>
      </c>
      <c r="K35" s="27">
        <f>187.8+105.8</f>
        <v>293.60000000000002</v>
      </c>
      <c r="L35" s="5">
        <f t="shared" si="5"/>
        <v>273.47500000000002</v>
      </c>
      <c r="M35" s="84">
        <f>191.2+105.9</f>
        <v>297.10000000000002</v>
      </c>
      <c r="N35" s="27">
        <f>190.3+102.9</f>
        <v>293.20000000000005</v>
      </c>
      <c r="O35" s="27">
        <f>196.7+102.4</f>
        <v>299.10000000000002</v>
      </c>
      <c r="P35" s="27">
        <f>201+102.7</f>
        <v>303.7</v>
      </c>
      <c r="Q35" s="5">
        <f t="shared" si="6"/>
        <v>298.27500000000003</v>
      </c>
      <c r="R35" s="2">
        <f t="shared" si="7"/>
        <v>282.81666666666666</v>
      </c>
      <c r="T35" s="7">
        <f t="shared" si="0"/>
        <v>1.5571853730767101E-3</v>
      </c>
      <c r="V35" s="40">
        <f>claims!D35</f>
        <v>1</v>
      </c>
      <c r="W35" s="40">
        <f>claims!E35</f>
        <v>0</v>
      </c>
      <c r="X35" s="40">
        <f>claims!F35</f>
        <v>0</v>
      </c>
      <c r="Z35" s="7">
        <f t="shared" si="1"/>
        <v>3.9196472317491425E-3</v>
      </c>
      <c r="AA35" s="7">
        <f t="shared" si="2"/>
        <v>0</v>
      </c>
      <c r="AB35" s="7">
        <f t="shared" si="8"/>
        <v>0</v>
      </c>
      <c r="AD35" s="7">
        <f t="shared" si="3"/>
        <v>6.5327453862485708E-4</v>
      </c>
      <c r="AF35" s="10"/>
      <c r="AG35" s="10"/>
      <c r="AH35" s="10"/>
      <c r="AI35" s="10"/>
    </row>
    <row r="36" spans="1:35">
      <c r="A36" s="1" t="s">
        <v>48</v>
      </c>
      <c r="B36" s="1" t="s">
        <v>49</v>
      </c>
      <c r="C36" s="84">
        <v>4043.6</v>
      </c>
      <c r="D36" s="27">
        <v>4068.5</v>
      </c>
      <c r="E36" s="27">
        <v>4004</v>
      </c>
      <c r="F36" s="27">
        <v>3942.7</v>
      </c>
      <c r="G36" s="5">
        <f t="shared" si="4"/>
        <v>4014.7</v>
      </c>
      <c r="H36" s="84">
        <v>3915.3</v>
      </c>
      <c r="I36" s="27">
        <v>3931.5</v>
      </c>
      <c r="J36" s="27">
        <v>3938.2</v>
      </c>
      <c r="K36" s="27">
        <v>4001.1</v>
      </c>
      <c r="L36" s="5">
        <f t="shared" si="5"/>
        <v>3946.5250000000001</v>
      </c>
      <c r="M36" s="84">
        <v>4026.8</v>
      </c>
      <c r="N36" s="27">
        <v>4105.1000000000004</v>
      </c>
      <c r="O36" s="27">
        <v>4165.8999999999996</v>
      </c>
      <c r="P36" s="27">
        <v>4231.8</v>
      </c>
      <c r="Q36" s="5">
        <f t="shared" si="6"/>
        <v>4132.3999999999996</v>
      </c>
      <c r="R36" s="2">
        <f t="shared" si="7"/>
        <v>4050.8249999999994</v>
      </c>
      <c r="T36" s="7">
        <f t="shared" si="0"/>
        <v>2.2303796707738098E-2</v>
      </c>
      <c r="V36" s="40">
        <f>claims!D36</f>
        <v>12</v>
      </c>
      <c r="W36" s="40">
        <f>claims!E36</f>
        <v>8</v>
      </c>
      <c r="X36" s="40">
        <f>claims!F36</f>
        <v>16</v>
      </c>
      <c r="Z36" s="7">
        <f t="shared" si="1"/>
        <v>2.9890153685206864E-3</v>
      </c>
      <c r="AA36" s="7">
        <f t="shared" si="2"/>
        <v>2.0270997903218653E-3</v>
      </c>
      <c r="AB36" s="7">
        <f t="shared" si="8"/>
        <v>3.8718420288452234E-3</v>
      </c>
      <c r="AD36" s="7">
        <f t="shared" si="3"/>
        <v>3.1097901726166812E-3</v>
      </c>
      <c r="AF36" s="10"/>
      <c r="AG36" s="10"/>
      <c r="AH36" s="10"/>
      <c r="AI36" s="10"/>
    </row>
    <row r="37" spans="1:35">
      <c r="A37" s="1" t="s">
        <v>50</v>
      </c>
      <c r="B37" s="1" t="s">
        <v>485</v>
      </c>
      <c r="C37" s="84">
        <v>359.6</v>
      </c>
      <c r="D37" s="27">
        <v>362.5</v>
      </c>
      <c r="E37" s="27">
        <v>366.4</v>
      </c>
      <c r="F37" s="27">
        <v>377.7</v>
      </c>
      <c r="G37" s="5">
        <f t="shared" si="4"/>
        <v>366.55</v>
      </c>
      <c r="H37" s="84">
        <v>390.5</v>
      </c>
      <c r="I37" s="27">
        <v>390</v>
      </c>
      <c r="J37" s="27">
        <v>391.7</v>
      </c>
      <c r="K37" s="27">
        <v>390.2</v>
      </c>
      <c r="L37" s="5">
        <f t="shared" si="5"/>
        <v>390.6</v>
      </c>
      <c r="M37" s="84">
        <v>406.4</v>
      </c>
      <c r="N37" s="27">
        <v>413</v>
      </c>
      <c r="O37" s="27">
        <v>416.3</v>
      </c>
      <c r="P37" s="27">
        <v>435</v>
      </c>
      <c r="Q37" s="5">
        <f t="shared" si="6"/>
        <v>417.67500000000001</v>
      </c>
      <c r="R37" s="2">
        <f t="shared" si="7"/>
        <v>400.12916666666666</v>
      </c>
      <c r="T37" s="7">
        <f t="shared" si="0"/>
        <v>2.2031066733739402E-3</v>
      </c>
      <c r="V37" s="40">
        <f>claims!D37</f>
        <v>9</v>
      </c>
      <c r="W37" s="40">
        <f>claims!E37</f>
        <v>14</v>
      </c>
      <c r="X37" s="40">
        <f>claims!F37</f>
        <v>5</v>
      </c>
      <c r="Z37" s="7">
        <f t="shared" si="1"/>
        <v>2.4553266948574546E-2</v>
      </c>
      <c r="AA37" s="7">
        <f t="shared" si="2"/>
        <v>3.5842293906810034E-2</v>
      </c>
      <c r="AB37" s="7">
        <f t="shared" si="8"/>
        <v>1.1971030107140719E-2</v>
      </c>
      <c r="AD37" s="7">
        <f t="shared" si="3"/>
        <v>2.202515751393613E-2</v>
      </c>
      <c r="AF37" s="10"/>
      <c r="AG37" s="10"/>
      <c r="AH37" s="10"/>
      <c r="AI37" s="10"/>
    </row>
    <row r="38" spans="1:35" s="11" customFormat="1">
      <c r="A38" s="11" t="s">
        <v>51</v>
      </c>
      <c r="B38" s="11" t="s">
        <v>52</v>
      </c>
      <c r="C38" s="84">
        <v>2492.6</v>
      </c>
      <c r="D38" s="27">
        <v>2490.1999999999998</v>
      </c>
      <c r="E38" s="27">
        <v>2476.1999999999998</v>
      </c>
      <c r="F38" s="27">
        <v>2481.8000000000002</v>
      </c>
      <c r="G38" s="5">
        <f t="shared" si="4"/>
        <v>2485.1999999999998</v>
      </c>
      <c r="H38" s="84">
        <v>2463.6999999999998</v>
      </c>
      <c r="I38" s="27">
        <v>2534.4</v>
      </c>
      <c r="J38" s="27">
        <v>2580</v>
      </c>
      <c r="K38" s="27">
        <v>2680.6</v>
      </c>
      <c r="L38" s="5">
        <f t="shared" si="5"/>
        <v>2564.6750000000002</v>
      </c>
      <c r="M38" s="84">
        <v>2664.9</v>
      </c>
      <c r="N38" s="27">
        <v>2702.3</v>
      </c>
      <c r="O38" s="27">
        <v>2735</v>
      </c>
      <c r="P38" s="27">
        <v>2799.5</v>
      </c>
      <c r="Q38" s="5">
        <f t="shared" si="6"/>
        <v>2725.4250000000002</v>
      </c>
      <c r="R38" s="2">
        <f t="shared" si="7"/>
        <v>2631.8041666666668</v>
      </c>
      <c r="T38" s="7">
        <f t="shared" si="0"/>
        <v>1.4490684023109225E-2</v>
      </c>
      <c r="V38" s="40">
        <f>claims!D38</f>
        <v>11</v>
      </c>
      <c r="W38" s="40">
        <f>claims!E38</f>
        <v>7</v>
      </c>
      <c r="X38" s="40">
        <f>claims!F38</f>
        <v>6</v>
      </c>
      <c r="Z38" s="7">
        <f t="shared" si="1"/>
        <v>4.4262031224851124E-3</v>
      </c>
      <c r="AA38" s="7">
        <f t="shared" si="2"/>
        <v>2.7293906635343658E-3</v>
      </c>
      <c r="AB38" s="7">
        <f t="shared" si="8"/>
        <v>2.2014915104983626E-3</v>
      </c>
      <c r="AD38" s="7">
        <f t="shared" si="3"/>
        <v>2.7482431635081558E-3</v>
      </c>
      <c r="AF38" s="10"/>
      <c r="AG38" s="10"/>
      <c r="AH38" s="10"/>
      <c r="AI38" s="10"/>
    </row>
    <row r="39" spans="1:35">
      <c r="A39" s="1" t="s">
        <v>53</v>
      </c>
      <c r="B39" s="1" t="s">
        <v>54</v>
      </c>
      <c r="C39" s="84">
        <v>698.1</v>
      </c>
      <c r="D39" s="27">
        <v>701.2</v>
      </c>
      <c r="E39" s="27">
        <v>711.7</v>
      </c>
      <c r="F39" s="27">
        <v>731</v>
      </c>
      <c r="G39" s="5">
        <f t="shared" si="4"/>
        <v>710.5</v>
      </c>
      <c r="H39" s="84">
        <v>736.6</v>
      </c>
      <c r="I39" s="27">
        <v>739.1</v>
      </c>
      <c r="J39" s="27">
        <v>733.9</v>
      </c>
      <c r="K39" s="27">
        <v>750.6</v>
      </c>
      <c r="L39" s="5">
        <f t="shared" si="5"/>
        <v>740.05</v>
      </c>
      <c r="M39" s="84">
        <v>753.1</v>
      </c>
      <c r="N39" s="27">
        <v>771.3</v>
      </c>
      <c r="O39" s="27">
        <v>784.5</v>
      </c>
      <c r="P39" s="27">
        <v>814.2</v>
      </c>
      <c r="Q39" s="5">
        <f t="shared" si="6"/>
        <v>780.77500000000009</v>
      </c>
      <c r="R39" s="2">
        <f t="shared" si="7"/>
        <v>755.48750000000007</v>
      </c>
      <c r="T39" s="7">
        <f t="shared" si="0"/>
        <v>4.1597056439706213E-3</v>
      </c>
      <c r="V39" s="40">
        <f>claims!D39</f>
        <v>2</v>
      </c>
      <c r="W39" s="40">
        <f>claims!E39</f>
        <v>4</v>
      </c>
      <c r="X39" s="40">
        <f>claims!F39</f>
        <v>6</v>
      </c>
      <c r="Z39" s="7">
        <f t="shared" si="1"/>
        <v>2.8149190710767065E-3</v>
      </c>
      <c r="AA39" s="7">
        <f t="shared" si="2"/>
        <v>5.4050401999864882E-3</v>
      </c>
      <c r="AB39" s="7">
        <f t="shared" si="8"/>
        <v>7.6846722807466933E-3</v>
      </c>
      <c r="AD39" s="7">
        <f t="shared" si="3"/>
        <v>6.1131693855482937E-3</v>
      </c>
      <c r="AF39" s="10"/>
      <c r="AG39" s="10"/>
      <c r="AH39" s="10"/>
      <c r="AI39" s="10"/>
    </row>
    <row r="40" spans="1:35">
      <c r="A40" s="1" t="s">
        <v>55</v>
      </c>
      <c r="B40" s="1" t="s">
        <v>56</v>
      </c>
      <c r="C40" s="84">
        <v>153.1</v>
      </c>
      <c r="D40" s="27">
        <v>153.30000000000001</v>
      </c>
      <c r="E40" s="27">
        <v>157</v>
      </c>
      <c r="F40" s="27">
        <v>151.69999999999999</v>
      </c>
      <c r="G40" s="5">
        <f t="shared" si="4"/>
        <v>153.77499999999998</v>
      </c>
      <c r="H40" s="84">
        <v>153.1</v>
      </c>
      <c r="I40" s="27">
        <v>149.6</v>
      </c>
      <c r="J40" s="27">
        <v>151.5</v>
      </c>
      <c r="K40" s="27">
        <v>157</v>
      </c>
      <c r="L40" s="5">
        <f t="shared" si="5"/>
        <v>152.80000000000001</v>
      </c>
      <c r="M40" s="84">
        <v>153.60000000000002</v>
      </c>
      <c r="N40" s="27">
        <v>155.80000000000001</v>
      </c>
      <c r="O40" s="27">
        <v>156.19999999999999</v>
      </c>
      <c r="P40" s="27">
        <v>163.70000000000002</v>
      </c>
      <c r="Q40" s="5">
        <f t="shared" si="6"/>
        <v>157.32500000000002</v>
      </c>
      <c r="R40" s="2">
        <f t="shared" si="7"/>
        <v>155.22499999999999</v>
      </c>
      <c r="T40" s="7">
        <f t="shared" si="0"/>
        <v>8.5466709718604158E-4</v>
      </c>
      <c r="V40" s="40">
        <f>claims!D40</f>
        <v>0</v>
      </c>
      <c r="W40" s="40">
        <f>claims!E40</f>
        <v>1</v>
      </c>
      <c r="X40" s="40">
        <f>claims!F40</f>
        <v>2</v>
      </c>
      <c r="Z40" s="7">
        <f t="shared" si="1"/>
        <v>0</v>
      </c>
      <c r="AA40" s="7">
        <f t="shared" si="2"/>
        <v>6.5445026178010462E-3</v>
      </c>
      <c r="AB40" s="7">
        <f t="shared" si="8"/>
        <v>1.2712537740346416E-2</v>
      </c>
      <c r="AD40" s="7">
        <f t="shared" si="3"/>
        <v>8.5377697427735568E-3</v>
      </c>
      <c r="AF40" s="10"/>
      <c r="AG40" s="10"/>
      <c r="AH40" s="10"/>
      <c r="AI40" s="10"/>
    </row>
    <row r="41" spans="1:35">
      <c r="A41" s="1" t="s">
        <v>57</v>
      </c>
      <c r="B41" s="1" t="s">
        <v>58</v>
      </c>
      <c r="C41" s="84">
        <v>168.6</v>
      </c>
      <c r="D41" s="27">
        <v>176.2</v>
      </c>
      <c r="E41" s="27">
        <v>190.5</v>
      </c>
      <c r="F41" s="27">
        <v>190.5</v>
      </c>
      <c r="G41" s="5">
        <f t="shared" si="4"/>
        <v>181.45</v>
      </c>
      <c r="H41" s="84">
        <v>198.1</v>
      </c>
      <c r="I41" s="27">
        <v>198.5</v>
      </c>
      <c r="J41" s="27">
        <v>199.3</v>
      </c>
      <c r="K41" s="27">
        <v>206</v>
      </c>
      <c r="L41" s="5">
        <f t="shared" si="5"/>
        <v>200.47500000000002</v>
      </c>
      <c r="M41" s="84">
        <v>206.9</v>
      </c>
      <c r="N41" s="27">
        <v>217.3</v>
      </c>
      <c r="O41" s="27">
        <v>239.2</v>
      </c>
      <c r="P41" s="27">
        <v>257.10000000000002</v>
      </c>
      <c r="Q41" s="5">
        <f t="shared" si="6"/>
        <v>230.12500000000003</v>
      </c>
      <c r="R41" s="2">
        <f t="shared" si="7"/>
        <v>212.12916666666669</v>
      </c>
      <c r="T41" s="7">
        <f t="shared" si="0"/>
        <v>1.167980796285998E-3</v>
      </c>
      <c r="V41" s="40">
        <f>claims!D41</f>
        <v>1</v>
      </c>
      <c r="W41" s="40">
        <f>claims!E41</f>
        <v>0</v>
      </c>
      <c r="X41" s="40">
        <f>claims!F41</f>
        <v>0</v>
      </c>
      <c r="Z41" s="7">
        <f t="shared" si="1"/>
        <v>5.5111600992008821E-3</v>
      </c>
      <c r="AA41" s="7">
        <f t="shared" si="2"/>
        <v>0</v>
      </c>
      <c r="AB41" s="7">
        <f t="shared" si="8"/>
        <v>0</v>
      </c>
      <c r="AD41" s="7">
        <f t="shared" si="3"/>
        <v>9.1852668320014698E-4</v>
      </c>
      <c r="AF41" s="10"/>
      <c r="AG41" s="10"/>
      <c r="AH41" s="10"/>
      <c r="AI41" s="10"/>
    </row>
    <row r="42" spans="1:35">
      <c r="A42" s="1" t="s">
        <v>59</v>
      </c>
      <c r="B42" s="1" t="s">
        <v>60</v>
      </c>
      <c r="C42" s="84">
        <v>177</v>
      </c>
      <c r="D42" s="27">
        <v>181</v>
      </c>
      <c r="E42" s="27">
        <v>180</v>
      </c>
      <c r="F42" s="27">
        <v>179</v>
      </c>
      <c r="G42" s="5">
        <f t="shared" si="4"/>
        <v>179.25</v>
      </c>
      <c r="H42" s="84">
        <v>175</v>
      </c>
      <c r="I42" s="27">
        <v>174</v>
      </c>
      <c r="J42" s="27">
        <v>174.4</v>
      </c>
      <c r="K42" s="27">
        <v>176</v>
      </c>
      <c r="L42" s="5">
        <f t="shared" si="5"/>
        <v>174.85</v>
      </c>
      <c r="M42" s="84">
        <v>178.3</v>
      </c>
      <c r="N42" s="27">
        <v>184.1</v>
      </c>
      <c r="O42" s="27">
        <v>182.2</v>
      </c>
      <c r="P42" s="27">
        <v>194.9</v>
      </c>
      <c r="Q42" s="5">
        <f t="shared" si="6"/>
        <v>184.87499999999997</v>
      </c>
      <c r="R42" s="2">
        <f t="shared" si="7"/>
        <v>180.5958333333333</v>
      </c>
      <c r="T42" s="7">
        <f t="shared" si="0"/>
        <v>9.9435861902975767E-4</v>
      </c>
      <c r="V42" s="40">
        <f>claims!D42</f>
        <v>0</v>
      </c>
      <c r="W42" s="40">
        <f>claims!E42</f>
        <v>1</v>
      </c>
      <c r="X42" s="40">
        <f>claims!F42</f>
        <v>0</v>
      </c>
      <c r="Z42" s="7">
        <f t="shared" si="1"/>
        <v>0</v>
      </c>
      <c r="AA42" s="7">
        <f t="shared" si="2"/>
        <v>5.7191878753217046E-3</v>
      </c>
      <c r="AB42" s="7">
        <f t="shared" si="8"/>
        <v>0</v>
      </c>
      <c r="AD42" s="7">
        <f t="shared" si="3"/>
        <v>1.9063959584405682E-3</v>
      </c>
      <c r="AF42" s="10"/>
      <c r="AG42" s="10"/>
      <c r="AH42" s="10"/>
      <c r="AI42" s="10"/>
    </row>
    <row r="43" spans="1:35">
      <c r="A43" s="1" t="s">
        <v>61</v>
      </c>
      <c r="B43" s="1" t="s">
        <v>517</v>
      </c>
      <c r="C43" s="84">
        <v>81.3</v>
      </c>
      <c r="D43" s="27">
        <v>80.3</v>
      </c>
      <c r="E43" s="27">
        <v>78.3</v>
      </c>
      <c r="F43" s="27">
        <v>77.3</v>
      </c>
      <c r="G43" s="5">
        <f t="shared" si="4"/>
        <v>79.3</v>
      </c>
      <c r="H43" s="84">
        <v>78.3</v>
      </c>
      <c r="I43" s="27">
        <v>80.3</v>
      </c>
      <c r="J43" s="27">
        <v>78.3</v>
      </c>
      <c r="K43" s="27">
        <v>80.3</v>
      </c>
      <c r="L43" s="5">
        <f t="shared" si="5"/>
        <v>79.3</v>
      </c>
      <c r="M43" s="84">
        <v>81.3</v>
      </c>
      <c r="N43" s="27">
        <v>85.3</v>
      </c>
      <c r="O43" s="27">
        <v>82.3</v>
      </c>
      <c r="P43" s="27">
        <v>84.3</v>
      </c>
      <c r="Q43" s="5">
        <f t="shared" si="6"/>
        <v>83.3</v>
      </c>
      <c r="R43" s="2">
        <f t="shared" si="7"/>
        <v>81.3</v>
      </c>
      <c r="T43" s="7">
        <f t="shared" si="0"/>
        <v>4.476368819534558E-4</v>
      </c>
      <c r="V43" s="40">
        <f>claims!D43</f>
        <v>0</v>
      </c>
      <c r="W43" s="40">
        <f>claims!E43</f>
        <v>0</v>
      </c>
      <c r="X43" s="40">
        <f>claims!F43</f>
        <v>0</v>
      </c>
      <c r="Z43" s="7">
        <f t="shared" si="1"/>
        <v>0</v>
      </c>
      <c r="AA43" s="7">
        <f t="shared" si="2"/>
        <v>0</v>
      </c>
      <c r="AB43" s="7">
        <f t="shared" si="8"/>
        <v>0</v>
      </c>
      <c r="AD43" s="7">
        <f t="shared" si="3"/>
        <v>0</v>
      </c>
      <c r="AF43" s="10"/>
      <c r="AG43" s="10"/>
      <c r="AH43" s="10"/>
      <c r="AI43" s="10"/>
    </row>
    <row r="44" spans="1:35">
      <c r="A44" s="1" t="s">
        <v>62</v>
      </c>
      <c r="B44" s="1" t="s">
        <v>63</v>
      </c>
      <c r="C44" s="84">
        <v>200.1</v>
      </c>
      <c r="D44" s="27">
        <v>206.9</v>
      </c>
      <c r="E44" s="27">
        <v>221.9</v>
      </c>
      <c r="F44" s="27">
        <v>213.8</v>
      </c>
      <c r="G44" s="5">
        <f t="shared" si="4"/>
        <v>210.67500000000001</v>
      </c>
      <c r="H44" s="84">
        <v>213.4</v>
      </c>
      <c r="I44" s="27">
        <v>212.5</v>
      </c>
      <c r="J44" s="27">
        <v>220.4</v>
      </c>
      <c r="K44" s="27">
        <v>225.7</v>
      </c>
      <c r="L44" s="5">
        <f t="shared" si="5"/>
        <v>218</v>
      </c>
      <c r="M44" s="84">
        <v>232.2</v>
      </c>
      <c r="N44" s="27">
        <v>240.1</v>
      </c>
      <c r="O44" s="27">
        <v>254</v>
      </c>
      <c r="P44" s="27">
        <v>250.4</v>
      </c>
      <c r="Q44" s="5">
        <f t="shared" si="6"/>
        <v>244.17499999999998</v>
      </c>
      <c r="R44" s="2">
        <f t="shared" si="7"/>
        <v>229.86666666666665</v>
      </c>
      <c r="T44" s="7">
        <f t="shared" si="0"/>
        <v>1.2656432709926327E-3</v>
      </c>
      <c r="V44" s="40">
        <f>claims!D44</f>
        <v>0</v>
      </c>
      <c r="W44" s="40">
        <f>claims!E44</f>
        <v>0</v>
      </c>
      <c r="X44" s="40">
        <f>claims!F44</f>
        <v>1</v>
      </c>
      <c r="Z44" s="7">
        <f t="shared" si="1"/>
        <v>0</v>
      </c>
      <c r="AA44" s="7">
        <f t="shared" si="2"/>
        <v>0</v>
      </c>
      <c r="AB44" s="7">
        <f t="shared" si="8"/>
        <v>4.0954233643902939E-3</v>
      </c>
      <c r="AD44" s="7">
        <f t="shared" si="3"/>
        <v>2.047711682195147E-3</v>
      </c>
      <c r="AF44" s="10"/>
      <c r="AG44" s="10"/>
      <c r="AH44" s="10"/>
      <c r="AI44" s="10"/>
    </row>
    <row r="45" spans="1:35">
      <c r="A45" s="1" t="s">
        <v>64</v>
      </c>
      <c r="B45" s="1" t="s">
        <v>518</v>
      </c>
      <c r="C45" s="84">
        <v>5221</v>
      </c>
      <c r="D45" s="27">
        <v>4846.6000000000004</v>
      </c>
      <c r="E45" s="27">
        <v>4666.3</v>
      </c>
      <c r="F45" s="27">
        <v>4703.8</v>
      </c>
      <c r="G45" s="5">
        <f t="shared" si="4"/>
        <v>4859.4250000000002</v>
      </c>
      <c r="H45" s="84">
        <v>4674</v>
      </c>
      <c r="I45" s="27">
        <v>4655.7</v>
      </c>
      <c r="J45" s="27">
        <v>4761.1000000000004</v>
      </c>
      <c r="K45" s="27">
        <v>4710.5</v>
      </c>
      <c r="L45" s="5">
        <f t="shared" si="5"/>
        <v>4700.3250000000007</v>
      </c>
      <c r="M45" s="84">
        <v>4670.5</v>
      </c>
      <c r="N45" s="27">
        <v>4671.8</v>
      </c>
      <c r="O45" s="27">
        <v>4675.5</v>
      </c>
      <c r="P45" s="27">
        <v>4701.2</v>
      </c>
      <c r="Q45" s="5">
        <f t="shared" si="6"/>
        <v>4679.75</v>
      </c>
      <c r="R45" s="2">
        <f t="shared" si="7"/>
        <v>4716.5541666666668</v>
      </c>
      <c r="T45" s="7">
        <f t="shared" si="0"/>
        <v>2.5969293981934156E-2</v>
      </c>
      <c r="V45" s="40">
        <f>claims!D45</f>
        <v>17</v>
      </c>
      <c r="W45" s="40">
        <f>claims!E45</f>
        <v>25</v>
      </c>
      <c r="X45" s="40">
        <f>claims!F45</f>
        <v>28</v>
      </c>
      <c r="Z45" s="7">
        <f t="shared" si="1"/>
        <v>3.4983562870092655E-3</v>
      </c>
      <c r="AA45" s="7">
        <f t="shared" si="2"/>
        <v>5.318781148112098E-3</v>
      </c>
      <c r="AB45" s="7">
        <f t="shared" si="8"/>
        <v>5.9832255996581018E-3</v>
      </c>
      <c r="AD45" s="7">
        <f t="shared" si="3"/>
        <v>5.3475992303679614E-3</v>
      </c>
      <c r="AF45" s="10"/>
      <c r="AG45" s="10"/>
      <c r="AH45" s="10"/>
      <c r="AI45" s="10"/>
    </row>
    <row r="46" spans="1:35">
      <c r="A46" s="1" t="s">
        <v>538</v>
      </c>
      <c r="B46" s="1" t="s">
        <v>539</v>
      </c>
      <c r="C46" s="84">
        <v>9</v>
      </c>
      <c r="D46" s="27">
        <v>9</v>
      </c>
      <c r="E46" s="27">
        <v>9</v>
      </c>
      <c r="F46" s="27">
        <v>8</v>
      </c>
      <c r="G46" s="5">
        <f t="shared" si="4"/>
        <v>8.75</v>
      </c>
      <c r="H46" s="84">
        <v>9</v>
      </c>
      <c r="I46" s="27">
        <v>6</v>
      </c>
      <c r="J46" s="27">
        <v>7</v>
      </c>
      <c r="K46" s="27">
        <v>9</v>
      </c>
      <c r="L46" s="5">
        <f t="shared" si="5"/>
        <v>7.75</v>
      </c>
      <c r="M46" s="84">
        <v>9</v>
      </c>
      <c r="N46" s="27">
        <v>9</v>
      </c>
      <c r="O46" s="27">
        <v>8</v>
      </c>
      <c r="P46" s="27">
        <v>8</v>
      </c>
      <c r="Q46" s="5">
        <f t="shared" si="6"/>
        <v>8.5</v>
      </c>
      <c r="R46" s="2">
        <f t="shared" si="7"/>
        <v>8.2916666666666661</v>
      </c>
      <c r="T46" s="7">
        <f t="shared" si="0"/>
        <v>4.5653823036458442E-5</v>
      </c>
      <c r="V46" s="40">
        <f>claims!D46</f>
        <v>0</v>
      </c>
      <c r="W46" s="40">
        <f>claims!E46</f>
        <v>0</v>
      </c>
      <c r="X46" s="40">
        <f>claims!F46</f>
        <v>0</v>
      </c>
      <c r="Z46" s="7">
        <f t="shared" si="1"/>
        <v>0</v>
      </c>
      <c r="AA46" s="7">
        <f t="shared" si="2"/>
        <v>0</v>
      </c>
      <c r="AB46" s="7">
        <f t="shared" si="8"/>
        <v>0</v>
      </c>
      <c r="AD46" s="7">
        <f t="shared" si="3"/>
        <v>0</v>
      </c>
      <c r="AF46" s="10"/>
      <c r="AG46" s="10"/>
      <c r="AH46" s="10"/>
      <c r="AI46" s="10"/>
    </row>
    <row r="47" spans="1:35">
      <c r="A47" s="1" t="s">
        <v>65</v>
      </c>
      <c r="B47" s="1" t="s">
        <v>66</v>
      </c>
      <c r="C47" s="84">
        <v>139</v>
      </c>
      <c r="D47" s="27">
        <v>138</v>
      </c>
      <c r="E47" s="27">
        <v>140</v>
      </c>
      <c r="F47" s="27">
        <v>147</v>
      </c>
      <c r="G47" s="5">
        <f t="shared" si="4"/>
        <v>141</v>
      </c>
      <c r="H47" s="84">
        <v>151</v>
      </c>
      <c r="I47" s="27">
        <v>159</v>
      </c>
      <c r="J47" s="27">
        <v>157</v>
      </c>
      <c r="K47" s="27">
        <v>161</v>
      </c>
      <c r="L47" s="5">
        <f t="shared" si="5"/>
        <v>157</v>
      </c>
      <c r="M47" s="84">
        <v>162</v>
      </c>
      <c r="N47" s="27">
        <v>163</v>
      </c>
      <c r="O47" s="27">
        <v>162</v>
      </c>
      <c r="P47" s="27">
        <v>161</v>
      </c>
      <c r="Q47" s="5">
        <f t="shared" si="6"/>
        <v>162</v>
      </c>
      <c r="R47" s="2">
        <f t="shared" si="7"/>
        <v>156.83333333333334</v>
      </c>
      <c r="T47" s="7">
        <f t="shared" si="0"/>
        <v>8.6352256235793759E-4</v>
      </c>
      <c r="V47" s="40">
        <f>claims!D47</f>
        <v>0</v>
      </c>
      <c r="W47" s="40">
        <f>claims!E47</f>
        <v>0</v>
      </c>
      <c r="X47" s="40">
        <f>claims!F47</f>
        <v>0</v>
      </c>
      <c r="Z47" s="7">
        <f t="shared" si="1"/>
        <v>0</v>
      </c>
      <c r="AA47" s="7">
        <f t="shared" si="2"/>
        <v>0</v>
      </c>
      <c r="AB47" s="7">
        <f t="shared" si="8"/>
        <v>0</v>
      </c>
      <c r="AD47" s="7">
        <f t="shared" si="3"/>
        <v>0</v>
      </c>
      <c r="AF47" s="10"/>
      <c r="AG47" s="10"/>
      <c r="AH47" s="10"/>
      <c r="AI47" s="10"/>
    </row>
    <row r="48" spans="1:35">
      <c r="A48" s="1" t="s">
        <v>67</v>
      </c>
      <c r="B48" s="1" t="s">
        <v>68</v>
      </c>
      <c r="C48" s="84">
        <v>313</v>
      </c>
      <c r="D48" s="27">
        <v>318</v>
      </c>
      <c r="E48" s="27">
        <v>334</v>
      </c>
      <c r="F48" s="27">
        <v>338</v>
      </c>
      <c r="G48" s="5">
        <f t="shared" si="4"/>
        <v>325.75</v>
      </c>
      <c r="H48" s="84">
        <v>340</v>
      </c>
      <c r="I48" s="27">
        <v>344</v>
      </c>
      <c r="J48" s="27">
        <v>347</v>
      </c>
      <c r="K48" s="27">
        <v>364</v>
      </c>
      <c r="L48" s="5">
        <f t="shared" si="5"/>
        <v>348.75</v>
      </c>
      <c r="M48" s="84">
        <v>360</v>
      </c>
      <c r="N48" s="27">
        <v>364</v>
      </c>
      <c r="O48" s="27">
        <v>360</v>
      </c>
      <c r="P48" s="27">
        <v>356</v>
      </c>
      <c r="Q48" s="5">
        <f t="shared" si="6"/>
        <v>360</v>
      </c>
      <c r="R48" s="2">
        <f t="shared" si="7"/>
        <v>350.54166666666669</v>
      </c>
      <c r="T48" s="7">
        <f t="shared" si="0"/>
        <v>1.9300784583202255E-3</v>
      </c>
      <c r="V48" s="40">
        <f>claims!D48</f>
        <v>1</v>
      </c>
      <c r="W48" s="40">
        <f>claims!E48</f>
        <v>1</v>
      </c>
      <c r="X48" s="40">
        <f>claims!F48</f>
        <v>0</v>
      </c>
      <c r="Z48" s="7">
        <f t="shared" si="1"/>
        <v>3.0698388334612432E-3</v>
      </c>
      <c r="AA48" s="7">
        <f t="shared" si="2"/>
        <v>2.8673835125448029E-3</v>
      </c>
      <c r="AB48" s="7">
        <f t="shared" si="8"/>
        <v>0</v>
      </c>
      <c r="AD48" s="7">
        <f t="shared" si="3"/>
        <v>1.4674343097584748E-3</v>
      </c>
      <c r="AF48" s="10"/>
      <c r="AG48" s="10"/>
      <c r="AH48" s="10"/>
      <c r="AI48" s="10"/>
    </row>
    <row r="49" spans="1:35">
      <c r="A49" s="1" t="s">
        <v>69</v>
      </c>
      <c r="B49" s="1" t="s">
        <v>70</v>
      </c>
      <c r="C49" s="84">
        <v>9.3000000000000007</v>
      </c>
      <c r="D49" s="27">
        <v>10</v>
      </c>
      <c r="E49" s="27">
        <v>10</v>
      </c>
      <c r="F49" s="27">
        <v>10.3</v>
      </c>
      <c r="G49" s="5">
        <f t="shared" si="4"/>
        <v>9.9</v>
      </c>
      <c r="H49" s="84">
        <v>11</v>
      </c>
      <c r="I49" s="27">
        <v>10.4</v>
      </c>
      <c r="J49" s="27">
        <v>11</v>
      </c>
      <c r="K49" s="27">
        <v>12</v>
      </c>
      <c r="L49" s="5">
        <f t="shared" si="5"/>
        <v>11.1</v>
      </c>
      <c r="M49" s="84">
        <v>11.3</v>
      </c>
      <c r="N49" s="27">
        <v>11.2</v>
      </c>
      <c r="O49" s="27">
        <v>10.9</v>
      </c>
      <c r="P49" s="27">
        <v>10.5</v>
      </c>
      <c r="Q49" s="5">
        <f t="shared" si="6"/>
        <v>10.975</v>
      </c>
      <c r="R49" s="2">
        <f t="shared" si="7"/>
        <v>10.8375</v>
      </c>
      <c r="T49" s="7">
        <f t="shared" si="0"/>
        <v>5.9671152622024331E-5</v>
      </c>
      <c r="V49" s="40">
        <f>claims!D49</f>
        <v>0</v>
      </c>
      <c r="W49" s="40">
        <f>claims!E49</f>
        <v>0</v>
      </c>
      <c r="X49" s="40">
        <f>claims!F49</f>
        <v>0</v>
      </c>
      <c r="Z49" s="7">
        <f t="shared" si="1"/>
        <v>0</v>
      </c>
      <c r="AA49" s="7">
        <f t="shared" si="2"/>
        <v>0</v>
      </c>
      <c r="AB49" s="7">
        <f t="shared" si="8"/>
        <v>0</v>
      </c>
      <c r="AD49" s="7">
        <f t="shared" si="3"/>
        <v>0</v>
      </c>
      <c r="AF49" s="10"/>
      <c r="AG49" s="10"/>
      <c r="AH49" s="10"/>
      <c r="AI49" s="10"/>
    </row>
    <row r="50" spans="1:35">
      <c r="A50" s="1" t="s">
        <v>71</v>
      </c>
      <c r="B50" s="1" t="s">
        <v>72</v>
      </c>
      <c r="C50" s="84">
        <v>14</v>
      </c>
      <c r="D50" s="27">
        <v>12.5</v>
      </c>
      <c r="E50" s="27">
        <v>13.6</v>
      </c>
      <c r="F50" s="27">
        <v>14.2</v>
      </c>
      <c r="G50" s="5">
        <f t="shared" si="4"/>
        <v>13.574999999999999</v>
      </c>
      <c r="H50" s="84">
        <v>13.6</v>
      </c>
      <c r="I50" s="27">
        <v>14</v>
      </c>
      <c r="J50" s="27">
        <v>15</v>
      </c>
      <c r="K50" s="27">
        <v>15</v>
      </c>
      <c r="L50" s="5">
        <f t="shared" si="5"/>
        <v>14.4</v>
      </c>
      <c r="M50" s="84">
        <v>14.3</v>
      </c>
      <c r="N50" s="27">
        <v>14</v>
      </c>
      <c r="O50" s="27">
        <v>14.6</v>
      </c>
      <c r="P50" s="27">
        <v>14.5</v>
      </c>
      <c r="Q50" s="5">
        <f t="shared" si="6"/>
        <v>14.35</v>
      </c>
      <c r="R50" s="2">
        <f t="shared" si="7"/>
        <v>14.237499999999999</v>
      </c>
      <c r="T50" s="7">
        <f t="shared" si="0"/>
        <v>7.8391514228933918E-5</v>
      </c>
      <c r="V50" s="40">
        <f>claims!D50</f>
        <v>0</v>
      </c>
      <c r="W50" s="40">
        <f>claims!E50</f>
        <v>0</v>
      </c>
      <c r="X50" s="40">
        <f>claims!F50</f>
        <v>0</v>
      </c>
      <c r="Z50" s="7">
        <f t="shared" si="1"/>
        <v>0</v>
      </c>
      <c r="AA50" s="7">
        <f t="shared" si="2"/>
        <v>0</v>
      </c>
      <c r="AB50" s="7">
        <f t="shared" si="8"/>
        <v>0</v>
      </c>
      <c r="AD50" s="7">
        <f t="shared" si="3"/>
        <v>0</v>
      </c>
      <c r="AF50" s="10"/>
      <c r="AG50" s="10"/>
      <c r="AH50" s="10"/>
      <c r="AI50" s="10"/>
    </row>
    <row r="51" spans="1:35">
      <c r="A51" s="1" t="s">
        <v>73</v>
      </c>
      <c r="B51" s="1" t="s">
        <v>74</v>
      </c>
      <c r="C51" s="84">
        <v>10.6</v>
      </c>
      <c r="D51" s="27">
        <v>11</v>
      </c>
      <c r="E51" s="27">
        <v>11</v>
      </c>
      <c r="F51" s="27">
        <v>11</v>
      </c>
      <c r="G51" s="5">
        <f t="shared" si="4"/>
        <v>10.9</v>
      </c>
      <c r="H51" s="84">
        <v>10</v>
      </c>
      <c r="I51" s="27">
        <v>10</v>
      </c>
      <c r="J51" s="27">
        <v>10</v>
      </c>
      <c r="K51" s="27">
        <v>10</v>
      </c>
      <c r="L51" s="5">
        <f t="shared" si="5"/>
        <v>10</v>
      </c>
      <c r="M51" s="84">
        <v>10</v>
      </c>
      <c r="N51" s="27">
        <v>10.6</v>
      </c>
      <c r="O51" s="27">
        <v>11</v>
      </c>
      <c r="P51" s="27">
        <v>11</v>
      </c>
      <c r="Q51" s="5">
        <f t="shared" si="6"/>
        <v>10.65</v>
      </c>
      <c r="R51" s="2">
        <f t="shared" si="7"/>
        <v>10.475</v>
      </c>
      <c r="T51" s="7">
        <f t="shared" si="0"/>
        <v>5.7675231715405285E-5</v>
      </c>
      <c r="V51" s="40">
        <f>claims!D51</f>
        <v>0</v>
      </c>
      <c r="W51" s="40">
        <f>claims!E51</f>
        <v>0</v>
      </c>
      <c r="X51" s="40">
        <f>claims!F51</f>
        <v>0</v>
      </c>
      <c r="Z51" s="7">
        <f t="shared" si="1"/>
        <v>0</v>
      </c>
      <c r="AA51" s="7">
        <f t="shared" si="2"/>
        <v>0</v>
      </c>
      <c r="AB51" s="7">
        <f t="shared" si="8"/>
        <v>0</v>
      </c>
      <c r="AD51" s="7">
        <f t="shared" si="3"/>
        <v>0</v>
      </c>
      <c r="AF51" s="10"/>
      <c r="AG51" s="10"/>
      <c r="AH51" s="10"/>
      <c r="AI51" s="10"/>
    </row>
    <row r="52" spans="1:35">
      <c r="A52" s="1" t="s">
        <v>75</v>
      </c>
      <c r="B52" s="1" t="s">
        <v>76</v>
      </c>
      <c r="C52" s="84">
        <v>27.4</v>
      </c>
      <c r="D52" s="27">
        <v>26.8</v>
      </c>
      <c r="E52" s="27">
        <v>25.2</v>
      </c>
      <c r="F52" s="27">
        <v>24.7</v>
      </c>
      <c r="G52" s="5">
        <f t="shared" si="4"/>
        <v>26.025000000000002</v>
      </c>
      <c r="H52" s="84">
        <v>24.3</v>
      </c>
      <c r="I52" s="27">
        <v>26.1</v>
      </c>
      <c r="J52" s="27">
        <v>26.3</v>
      </c>
      <c r="K52" s="27">
        <v>24.8</v>
      </c>
      <c r="L52" s="5">
        <f t="shared" si="5"/>
        <v>25.375</v>
      </c>
      <c r="M52" s="84">
        <v>25.2</v>
      </c>
      <c r="N52" s="27">
        <v>26.9</v>
      </c>
      <c r="O52" s="27">
        <v>27.9</v>
      </c>
      <c r="P52" s="27">
        <v>28.8</v>
      </c>
      <c r="Q52" s="5">
        <f t="shared" si="6"/>
        <v>27.2</v>
      </c>
      <c r="R52" s="2">
        <f t="shared" si="7"/>
        <v>26.395833333333332</v>
      </c>
      <c r="T52" s="7">
        <f t="shared" si="0"/>
        <v>1.4533516026932875E-4</v>
      </c>
      <c r="V52" s="40">
        <f>claims!D52</f>
        <v>0</v>
      </c>
      <c r="W52" s="40">
        <f>claims!E52</f>
        <v>0</v>
      </c>
      <c r="X52" s="40">
        <f>claims!F52</f>
        <v>0</v>
      </c>
      <c r="Z52" s="7">
        <f t="shared" si="1"/>
        <v>0</v>
      </c>
      <c r="AA52" s="7">
        <f t="shared" si="2"/>
        <v>0</v>
      </c>
      <c r="AB52" s="7">
        <f t="shared" si="8"/>
        <v>0</v>
      </c>
      <c r="AD52" s="7">
        <f t="shared" si="3"/>
        <v>0</v>
      </c>
      <c r="AF52" s="10"/>
      <c r="AG52" s="10"/>
      <c r="AH52" s="10"/>
      <c r="AI52" s="10"/>
    </row>
    <row r="53" spans="1:35">
      <c r="A53" s="1" t="s">
        <v>77</v>
      </c>
      <c r="B53" s="1" t="s">
        <v>78</v>
      </c>
      <c r="C53" s="84">
        <v>9.9</v>
      </c>
      <c r="D53" s="27">
        <v>9.9</v>
      </c>
      <c r="E53" s="27">
        <v>9</v>
      </c>
      <c r="F53" s="27">
        <v>9</v>
      </c>
      <c r="G53" s="5">
        <f t="shared" si="4"/>
        <v>9.4499999999999993</v>
      </c>
      <c r="H53" s="84">
        <v>8.5</v>
      </c>
      <c r="I53" s="27">
        <v>8.3000000000000007</v>
      </c>
      <c r="J53" s="27">
        <v>8.1999999999999993</v>
      </c>
      <c r="K53" s="27">
        <v>8.9</v>
      </c>
      <c r="L53" s="5">
        <f t="shared" si="5"/>
        <v>8.4749999999999996</v>
      </c>
      <c r="M53" s="84">
        <v>10.4</v>
      </c>
      <c r="N53" s="27">
        <v>11.9</v>
      </c>
      <c r="O53" s="27">
        <v>12</v>
      </c>
      <c r="P53" s="27">
        <v>11</v>
      </c>
      <c r="Q53" s="5">
        <f t="shared" si="6"/>
        <v>11.324999999999999</v>
      </c>
      <c r="R53" s="2">
        <f t="shared" si="7"/>
        <v>10.062499999999998</v>
      </c>
      <c r="T53" s="7">
        <f t="shared" si="0"/>
        <v>5.5404011373390511E-5</v>
      </c>
      <c r="V53" s="40">
        <f>claims!D53</f>
        <v>0</v>
      </c>
      <c r="W53" s="40">
        <f>claims!E53</f>
        <v>0</v>
      </c>
      <c r="X53" s="40">
        <f>claims!F53</f>
        <v>0</v>
      </c>
      <c r="Z53" s="7">
        <f t="shared" si="1"/>
        <v>0</v>
      </c>
      <c r="AA53" s="7">
        <f t="shared" si="2"/>
        <v>0</v>
      </c>
      <c r="AB53" s="7">
        <f t="shared" si="8"/>
        <v>0</v>
      </c>
      <c r="AD53" s="7">
        <f t="shared" si="3"/>
        <v>0</v>
      </c>
      <c r="AF53" s="10"/>
      <c r="AG53" s="10"/>
      <c r="AH53" s="10"/>
      <c r="AI53" s="10"/>
    </row>
    <row r="54" spans="1:35">
      <c r="A54" s="1" t="s">
        <v>79</v>
      </c>
      <c r="B54" s="1" t="s">
        <v>80</v>
      </c>
      <c r="C54" s="84">
        <v>103.8</v>
      </c>
      <c r="D54" s="27">
        <v>106.8</v>
      </c>
      <c r="E54" s="27">
        <v>104.3</v>
      </c>
      <c r="F54" s="27">
        <v>101.8</v>
      </c>
      <c r="G54" s="5">
        <f t="shared" si="4"/>
        <v>104.175</v>
      </c>
      <c r="H54" s="84">
        <v>106</v>
      </c>
      <c r="I54" s="27">
        <v>105.8</v>
      </c>
      <c r="J54" s="27">
        <v>106.6</v>
      </c>
      <c r="K54" s="27">
        <v>108.8</v>
      </c>
      <c r="L54" s="5">
        <f t="shared" si="5"/>
        <v>106.8</v>
      </c>
      <c r="M54" s="84">
        <v>109.2</v>
      </c>
      <c r="N54" s="27">
        <v>109.2</v>
      </c>
      <c r="O54" s="27">
        <v>107.2</v>
      </c>
      <c r="P54" s="27">
        <v>107.9</v>
      </c>
      <c r="Q54" s="5">
        <f t="shared" si="6"/>
        <v>108.375</v>
      </c>
      <c r="R54" s="2">
        <f t="shared" si="7"/>
        <v>107.14999999999999</v>
      </c>
      <c r="T54" s="7">
        <f t="shared" si="0"/>
        <v>5.8996669005304783E-4</v>
      </c>
      <c r="V54" s="40">
        <f>claims!D54</f>
        <v>0</v>
      </c>
      <c r="W54" s="40">
        <f>claims!E54</f>
        <v>0</v>
      </c>
      <c r="X54" s="40">
        <f>claims!F54</f>
        <v>1</v>
      </c>
      <c r="Z54" s="7">
        <f t="shared" si="1"/>
        <v>0</v>
      </c>
      <c r="AA54" s="7">
        <f t="shared" si="2"/>
        <v>0</v>
      </c>
      <c r="AB54" s="7">
        <f t="shared" si="8"/>
        <v>9.22722029988466E-3</v>
      </c>
      <c r="AD54" s="7">
        <f t="shared" si="3"/>
        <v>4.61361014994233E-3</v>
      </c>
      <c r="AF54" s="10"/>
      <c r="AG54" s="10"/>
      <c r="AH54" s="10"/>
      <c r="AI54" s="10"/>
    </row>
    <row r="55" spans="1:35">
      <c r="A55" s="1" t="s">
        <v>81</v>
      </c>
      <c r="B55" s="1" t="s">
        <v>82</v>
      </c>
      <c r="C55" s="84">
        <v>8</v>
      </c>
      <c r="D55" s="27">
        <v>8</v>
      </c>
      <c r="E55" s="27">
        <v>7</v>
      </c>
      <c r="F55" s="27">
        <v>7</v>
      </c>
      <c r="G55" s="5">
        <f t="shared" si="4"/>
        <v>7.5</v>
      </c>
      <c r="H55" s="84">
        <v>8</v>
      </c>
      <c r="I55" s="27">
        <v>8</v>
      </c>
      <c r="J55" s="27">
        <v>8</v>
      </c>
      <c r="K55" s="27">
        <v>8</v>
      </c>
      <c r="L55" s="5">
        <f t="shared" si="5"/>
        <v>8</v>
      </c>
      <c r="M55" s="84">
        <v>8</v>
      </c>
      <c r="N55" s="27">
        <v>8</v>
      </c>
      <c r="O55" s="27">
        <v>8</v>
      </c>
      <c r="P55" s="27">
        <v>8</v>
      </c>
      <c r="Q55" s="5">
        <f t="shared" si="6"/>
        <v>8</v>
      </c>
      <c r="R55" s="2">
        <f t="shared" si="7"/>
        <v>7.916666666666667</v>
      </c>
      <c r="T55" s="7">
        <f t="shared" si="0"/>
        <v>4.3589077270990474E-5</v>
      </c>
      <c r="V55" s="40">
        <f>claims!D55</f>
        <v>0</v>
      </c>
      <c r="W55" s="40">
        <f>claims!E55</f>
        <v>0</v>
      </c>
      <c r="X55" s="40">
        <f>claims!F55</f>
        <v>0</v>
      </c>
      <c r="Z55" s="7">
        <f t="shared" si="1"/>
        <v>0</v>
      </c>
      <c r="AA55" s="7">
        <f t="shared" si="2"/>
        <v>0</v>
      </c>
      <c r="AB55" s="7">
        <f t="shared" si="8"/>
        <v>0</v>
      </c>
      <c r="AD55" s="7">
        <f t="shared" si="3"/>
        <v>0</v>
      </c>
      <c r="AF55" s="10"/>
      <c r="AG55" s="10"/>
      <c r="AH55" s="10"/>
      <c r="AI55" s="10"/>
    </row>
    <row r="56" spans="1:35">
      <c r="A56" s="1" t="s">
        <v>83</v>
      </c>
      <c r="B56" s="11" t="s">
        <v>542</v>
      </c>
      <c r="C56" s="84">
        <v>555.79999999999995</v>
      </c>
      <c r="D56" s="27">
        <v>547.79999999999995</v>
      </c>
      <c r="E56" s="27">
        <v>533</v>
      </c>
      <c r="F56" s="27">
        <v>533.5</v>
      </c>
      <c r="G56" s="5">
        <f t="shared" si="4"/>
        <v>542.52499999999998</v>
      </c>
      <c r="H56" s="84">
        <v>537</v>
      </c>
      <c r="I56" s="27">
        <v>540</v>
      </c>
      <c r="J56" s="27">
        <v>528.5</v>
      </c>
      <c r="K56" s="27">
        <v>524.70000000000005</v>
      </c>
      <c r="L56" s="5">
        <f t="shared" si="5"/>
        <v>532.54999999999995</v>
      </c>
      <c r="M56" s="84">
        <v>544.5</v>
      </c>
      <c r="N56" s="27">
        <v>559.5</v>
      </c>
      <c r="O56" s="27">
        <v>556.5</v>
      </c>
      <c r="P56" s="27">
        <v>560.79999999999995</v>
      </c>
      <c r="Q56" s="5">
        <f t="shared" si="6"/>
        <v>555.32500000000005</v>
      </c>
      <c r="R56" s="2">
        <f t="shared" si="7"/>
        <v>545.6</v>
      </c>
      <c r="T56" s="7">
        <f t="shared" si="0"/>
        <v>3.0040674390381982E-3</v>
      </c>
      <c r="V56" s="40">
        <f>claims!D56</f>
        <v>104</v>
      </c>
      <c r="W56" s="40">
        <f>claims!E56</f>
        <v>61</v>
      </c>
      <c r="X56" s="40">
        <f>claims!F56</f>
        <v>100</v>
      </c>
      <c r="Z56" s="7">
        <f t="shared" si="1"/>
        <v>0.19169623519653473</v>
      </c>
      <c r="AA56" s="7">
        <f t="shared" si="2"/>
        <v>0.11454323537695991</v>
      </c>
      <c r="AB56" s="7">
        <f t="shared" si="8"/>
        <v>0.18007473101337054</v>
      </c>
      <c r="AD56" s="7">
        <f t="shared" si="3"/>
        <v>0.16016781649842768</v>
      </c>
      <c r="AF56" s="10"/>
      <c r="AG56" s="10"/>
      <c r="AH56" s="10"/>
      <c r="AI56" s="10"/>
    </row>
    <row r="57" spans="1:35">
      <c r="A57" s="1" t="s">
        <v>84</v>
      </c>
      <c r="B57" s="1" t="s">
        <v>85</v>
      </c>
      <c r="C57" s="84">
        <v>415.5</v>
      </c>
      <c r="D57" s="27">
        <v>426</v>
      </c>
      <c r="E57" s="27">
        <v>425.4</v>
      </c>
      <c r="F57" s="27">
        <v>428.9</v>
      </c>
      <c r="G57" s="5">
        <f t="shared" si="4"/>
        <v>423.95000000000005</v>
      </c>
      <c r="H57" s="84">
        <v>424.1</v>
      </c>
      <c r="I57" s="27">
        <v>429.3</v>
      </c>
      <c r="J57" s="27">
        <v>446.7</v>
      </c>
      <c r="K57" s="27">
        <v>434</v>
      </c>
      <c r="L57" s="5">
        <f t="shared" si="5"/>
        <v>433.52500000000003</v>
      </c>
      <c r="M57" s="84">
        <v>425.3</v>
      </c>
      <c r="N57" s="27">
        <v>419</v>
      </c>
      <c r="O57" s="27">
        <v>417.9</v>
      </c>
      <c r="P57" s="27">
        <v>419</v>
      </c>
      <c r="Q57" s="5">
        <f t="shared" si="6"/>
        <v>420.29999999999995</v>
      </c>
      <c r="R57" s="2">
        <f t="shared" si="7"/>
        <v>425.31666666666661</v>
      </c>
      <c r="T57" s="7">
        <f t="shared" si="0"/>
        <v>2.3417887639545385E-3</v>
      </c>
      <c r="V57" s="40">
        <f>claims!D57</f>
        <v>1</v>
      </c>
      <c r="W57" s="40">
        <f>claims!E57</f>
        <v>2</v>
      </c>
      <c r="X57" s="40">
        <f>claims!F57</f>
        <v>1</v>
      </c>
      <c r="Z57" s="7">
        <f t="shared" si="1"/>
        <v>2.3587687227267363E-3</v>
      </c>
      <c r="AA57" s="7">
        <f t="shared" si="2"/>
        <v>4.6133440978028944E-3</v>
      </c>
      <c r="AB57" s="7">
        <f t="shared" si="8"/>
        <v>2.3792529145848207E-3</v>
      </c>
      <c r="AD57" s="7">
        <f t="shared" si="3"/>
        <v>3.1205359436811647E-3</v>
      </c>
      <c r="AF57" s="10"/>
      <c r="AG57" s="10"/>
      <c r="AH57" s="10"/>
      <c r="AI57" s="10"/>
    </row>
    <row r="58" spans="1:35">
      <c r="A58" s="1" t="s">
        <v>86</v>
      </c>
      <c r="B58" s="1" t="s">
        <v>87</v>
      </c>
      <c r="C58" s="84">
        <v>10221.1</v>
      </c>
      <c r="D58" s="27">
        <v>10248.299999999999</v>
      </c>
      <c r="E58" s="27">
        <v>10244.5</v>
      </c>
      <c r="F58" s="27">
        <v>10228.799999999999</v>
      </c>
      <c r="G58" s="5">
        <f t="shared" si="4"/>
        <v>10235.674999999999</v>
      </c>
      <c r="H58" s="84">
        <v>10142.799999999999</v>
      </c>
      <c r="I58" s="27">
        <v>10150</v>
      </c>
      <c r="J58" s="27">
        <v>10192.1</v>
      </c>
      <c r="K58" s="27">
        <v>10191.299999999999</v>
      </c>
      <c r="L58" s="5">
        <f t="shared" si="5"/>
        <v>10169.049999999999</v>
      </c>
      <c r="M58" s="84">
        <v>10231.9</v>
      </c>
      <c r="N58" s="27">
        <v>10196.5</v>
      </c>
      <c r="O58" s="27">
        <v>10360.4</v>
      </c>
      <c r="P58" s="27">
        <v>10552</v>
      </c>
      <c r="Q58" s="5">
        <f t="shared" si="6"/>
        <v>10335.200000000001</v>
      </c>
      <c r="R58" s="2">
        <f t="shared" si="7"/>
        <v>10263.229166666666</v>
      </c>
      <c r="T58" s="7">
        <f t="shared" si="0"/>
        <v>5.6509223898406291E-2</v>
      </c>
      <c r="V58" s="40">
        <f>claims!D58</f>
        <v>479</v>
      </c>
      <c r="W58" s="40">
        <f>claims!E58</f>
        <v>483</v>
      </c>
      <c r="X58" s="40">
        <f>claims!F58</f>
        <v>487</v>
      </c>
      <c r="Z58" s="7">
        <f t="shared" si="1"/>
        <v>4.6797109130565402E-2</v>
      </c>
      <c r="AA58" s="7">
        <f t="shared" si="2"/>
        <v>4.749706216411563E-2</v>
      </c>
      <c r="AB58" s="7">
        <f t="shared" si="8"/>
        <v>4.7120520164099386E-2</v>
      </c>
      <c r="AD58" s="7">
        <f t="shared" si="3"/>
        <v>4.7192132325182469E-2</v>
      </c>
      <c r="AF58" s="10"/>
      <c r="AG58" s="10"/>
      <c r="AH58" s="10"/>
      <c r="AI58" s="10"/>
    </row>
    <row r="59" spans="1:35">
      <c r="A59" s="1" t="s">
        <v>88</v>
      </c>
      <c r="B59" s="11" t="s">
        <v>540</v>
      </c>
      <c r="C59" s="84">
        <v>51.8</v>
      </c>
      <c r="D59" s="27">
        <v>57.5</v>
      </c>
      <c r="E59" s="27">
        <v>59</v>
      </c>
      <c r="F59" s="27">
        <v>61.1</v>
      </c>
      <c r="G59" s="5">
        <f t="shared" si="4"/>
        <v>57.35</v>
      </c>
      <c r="H59" s="84">
        <v>61</v>
      </c>
      <c r="I59" s="27">
        <v>62</v>
      </c>
      <c r="J59" s="27">
        <v>63.8</v>
      </c>
      <c r="K59" s="27">
        <v>65.2</v>
      </c>
      <c r="L59" s="5">
        <f t="shared" si="5"/>
        <v>63</v>
      </c>
      <c r="M59" s="84">
        <v>69.7</v>
      </c>
      <c r="N59" s="27">
        <v>74.3</v>
      </c>
      <c r="O59" s="27">
        <v>78.7</v>
      </c>
      <c r="P59" s="27">
        <v>85.1</v>
      </c>
      <c r="Q59" s="5">
        <f t="shared" si="6"/>
        <v>76.949999999999989</v>
      </c>
      <c r="R59" s="2">
        <f t="shared" si="7"/>
        <v>69.033333333333317</v>
      </c>
      <c r="T59" s="7">
        <f t="shared" si="0"/>
        <v>3.8009675380303682E-4</v>
      </c>
      <c r="V59" s="40">
        <f>claims!D59</f>
        <v>0</v>
      </c>
      <c r="W59" s="40">
        <f>claims!E59</f>
        <v>0</v>
      </c>
      <c r="X59" s="40">
        <f>claims!F59</f>
        <v>0</v>
      </c>
      <c r="Z59" s="7">
        <f t="shared" si="1"/>
        <v>0</v>
      </c>
      <c r="AA59" s="7">
        <f t="shared" si="2"/>
        <v>0</v>
      </c>
      <c r="AB59" s="7">
        <f t="shared" si="8"/>
        <v>0</v>
      </c>
      <c r="AD59" s="7">
        <f t="shared" si="3"/>
        <v>0</v>
      </c>
      <c r="AF59" s="10"/>
      <c r="AG59" s="10"/>
      <c r="AH59" s="10"/>
      <c r="AI59" s="10"/>
    </row>
    <row r="60" spans="1:35">
      <c r="A60" s="1" t="s">
        <v>89</v>
      </c>
      <c r="B60" s="1" t="s">
        <v>90</v>
      </c>
      <c r="C60" s="84">
        <v>21</v>
      </c>
      <c r="D60" s="27">
        <v>20</v>
      </c>
      <c r="E60" s="27">
        <v>18</v>
      </c>
      <c r="F60" s="27">
        <v>22</v>
      </c>
      <c r="G60" s="5">
        <f t="shared" si="4"/>
        <v>20.25</v>
      </c>
      <c r="H60" s="84">
        <v>22</v>
      </c>
      <c r="I60" s="27">
        <v>23</v>
      </c>
      <c r="J60" s="27">
        <v>22</v>
      </c>
      <c r="K60" s="27">
        <v>23</v>
      </c>
      <c r="L60" s="5">
        <f t="shared" si="5"/>
        <v>22.5</v>
      </c>
      <c r="M60" s="84">
        <v>26.3</v>
      </c>
      <c r="N60" s="27">
        <v>25.1</v>
      </c>
      <c r="O60" s="27">
        <v>24.7</v>
      </c>
      <c r="P60" s="27">
        <v>25.9</v>
      </c>
      <c r="Q60" s="5">
        <f t="shared" si="6"/>
        <v>25.5</v>
      </c>
      <c r="R60" s="2">
        <f t="shared" si="7"/>
        <v>23.625</v>
      </c>
      <c r="T60" s="7">
        <f t="shared" si="0"/>
        <v>1.3007898322448211E-4</v>
      </c>
      <c r="V60" s="40">
        <f>claims!D60</f>
        <v>0</v>
      </c>
      <c r="W60" s="40">
        <f>claims!E60</f>
        <v>0</v>
      </c>
      <c r="X60" s="40">
        <f>claims!F60</f>
        <v>0</v>
      </c>
      <c r="Z60" s="7">
        <f t="shared" si="1"/>
        <v>0</v>
      </c>
      <c r="AA60" s="7">
        <f t="shared" si="2"/>
        <v>0</v>
      </c>
      <c r="AB60" s="7">
        <f t="shared" si="8"/>
        <v>0</v>
      </c>
      <c r="AD60" s="7">
        <f t="shared" si="3"/>
        <v>0</v>
      </c>
      <c r="AF60" s="10"/>
      <c r="AG60" s="10"/>
      <c r="AH60" s="10"/>
      <c r="AI60" s="10"/>
    </row>
    <row r="61" spans="1:35">
      <c r="A61" s="1" t="s">
        <v>91</v>
      </c>
      <c r="B61" s="1" t="s">
        <v>92</v>
      </c>
      <c r="C61" s="84">
        <v>25.8</v>
      </c>
      <c r="D61" s="27">
        <v>25.8</v>
      </c>
      <c r="E61" s="27">
        <v>27</v>
      </c>
      <c r="F61" s="27">
        <v>25.7</v>
      </c>
      <c r="G61" s="5">
        <f t="shared" si="4"/>
        <v>26.074999999999999</v>
      </c>
      <c r="H61" s="84">
        <v>24.9</v>
      </c>
      <c r="I61" s="27">
        <v>25.3</v>
      </c>
      <c r="J61" s="27">
        <v>26.8</v>
      </c>
      <c r="K61" s="27">
        <v>27</v>
      </c>
      <c r="L61" s="5">
        <f t="shared" si="5"/>
        <v>26</v>
      </c>
      <c r="M61" s="84">
        <v>29.3</v>
      </c>
      <c r="N61" s="27">
        <v>31</v>
      </c>
      <c r="O61" s="27">
        <v>32</v>
      </c>
      <c r="P61" s="27">
        <v>32</v>
      </c>
      <c r="Q61" s="5">
        <f t="shared" si="6"/>
        <v>31.074999999999999</v>
      </c>
      <c r="R61" s="2">
        <f t="shared" si="7"/>
        <v>28.55</v>
      </c>
      <c r="T61" s="7">
        <f t="shared" si="0"/>
        <v>1.5719597761096142E-4</v>
      </c>
      <c r="V61" s="40">
        <f>claims!D61</f>
        <v>0</v>
      </c>
      <c r="W61" s="40">
        <f>claims!E61</f>
        <v>1</v>
      </c>
      <c r="X61" s="40">
        <f>claims!F61</f>
        <v>0</v>
      </c>
      <c r="Z61" s="7">
        <f t="shared" si="1"/>
        <v>0</v>
      </c>
      <c r="AA61" s="7">
        <f t="shared" si="2"/>
        <v>0.01</v>
      </c>
      <c r="AB61" s="7">
        <f t="shared" si="8"/>
        <v>0</v>
      </c>
      <c r="AD61" s="7">
        <f t="shared" si="3"/>
        <v>3.3333333333333335E-3</v>
      </c>
      <c r="AF61" s="10"/>
      <c r="AG61" s="10"/>
      <c r="AH61" s="10"/>
      <c r="AI61" s="10"/>
    </row>
    <row r="62" spans="1:35">
      <c r="A62" s="1" t="s">
        <v>478</v>
      </c>
      <c r="B62" s="1" t="s">
        <v>479</v>
      </c>
      <c r="C62" s="84">
        <v>141.4</v>
      </c>
      <c r="D62" s="27">
        <v>143.69999999999999</v>
      </c>
      <c r="E62" s="27">
        <v>142.1</v>
      </c>
      <c r="F62" s="27">
        <v>138.80000000000001</v>
      </c>
      <c r="G62" s="5">
        <f t="shared" si="4"/>
        <v>141.5</v>
      </c>
      <c r="H62" s="84">
        <v>132.6</v>
      </c>
      <c r="I62" s="27">
        <v>125.6</v>
      </c>
      <c r="J62" s="27">
        <v>128.6</v>
      </c>
      <c r="K62" s="27">
        <v>137.30000000000001</v>
      </c>
      <c r="L62" s="5">
        <f t="shared" si="5"/>
        <v>131.02499999999998</v>
      </c>
      <c r="M62" s="84">
        <v>135</v>
      </c>
      <c r="N62" s="27">
        <v>132.30000000000001</v>
      </c>
      <c r="O62" s="27">
        <v>133.80000000000001</v>
      </c>
      <c r="P62" s="27">
        <v>142.4</v>
      </c>
      <c r="Q62" s="5">
        <f t="shared" si="6"/>
        <v>135.875</v>
      </c>
      <c r="R62" s="2">
        <f t="shared" si="7"/>
        <v>135.19583333333333</v>
      </c>
      <c r="T62" s="7">
        <f t="shared" si="0"/>
        <v>7.4438673169043566E-4</v>
      </c>
      <c r="V62" s="40">
        <f>claims!D62</f>
        <v>0</v>
      </c>
      <c r="W62" s="40">
        <f>claims!E62</f>
        <v>1</v>
      </c>
      <c r="X62" s="40">
        <f>claims!F62</f>
        <v>0</v>
      </c>
      <c r="Z62" s="7">
        <f t="shared" si="1"/>
        <v>0</v>
      </c>
      <c r="AA62" s="7">
        <f t="shared" si="2"/>
        <v>7.6321312726578914E-3</v>
      </c>
      <c r="AB62" s="7">
        <f t="shared" si="8"/>
        <v>0</v>
      </c>
      <c r="AD62" s="7">
        <f t="shared" si="3"/>
        <v>2.5440437575526306E-3</v>
      </c>
      <c r="AF62" s="10"/>
      <c r="AG62" s="10"/>
      <c r="AH62" s="10"/>
      <c r="AI62" s="10"/>
    </row>
    <row r="63" spans="1:35">
      <c r="A63" s="1" t="s">
        <v>93</v>
      </c>
      <c r="B63" s="1" t="s">
        <v>480</v>
      </c>
      <c r="C63" s="84">
        <v>57.8</v>
      </c>
      <c r="D63" s="27">
        <v>56.7</v>
      </c>
      <c r="E63" s="27">
        <v>58.8</v>
      </c>
      <c r="F63" s="27">
        <v>59.3</v>
      </c>
      <c r="G63" s="5">
        <f t="shared" si="4"/>
        <v>58.150000000000006</v>
      </c>
      <c r="H63" s="84">
        <v>58.5</v>
      </c>
      <c r="I63" s="27">
        <v>59.8</v>
      </c>
      <c r="J63" s="27">
        <v>62.1</v>
      </c>
      <c r="K63" s="27">
        <v>62.6</v>
      </c>
      <c r="L63" s="5">
        <f t="shared" si="5"/>
        <v>60.75</v>
      </c>
      <c r="M63" s="84">
        <v>61.8</v>
      </c>
      <c r="N63" s="27">
        <v>64.7</v>
      </c>
      <c r="O63" s="27">
        <v>62.7</v>
      </c>
      <c r="P63" s="27">
        <v>63.9</v>
      </c>
      <c r="Q63" s="5">
        <f t="shared" si="6"/>
        <v>63.274999999999999</v>
      </c>
      <c r="R63" s="2">
        <f t="shared" si="7"/>
        <v>61.579166666666673</v>
      </c>
      <c r="T63" s="7">
        <f t="shared" si="0"/>
        <v>3.3905419630945695E-4</v>
      </c>
      <c r="V63" s="40">
        <f>claims!D63</f>
        <v>0</v>
      </c>
      <c r="W63" s="40">
        <f>claims!E63</f>
        <v>0</v>
      </c>
      <c r="X63" s="40">
        <f>claims!F63</f>
        <v>0</v>
      </c>
      <c r="Z63" s="7">
        <f t="shared" si="1"/>
        <v>0</v>
      </c>
      <c r="AA63" s="7">
        <f t="shared" si="2"/>
        <v>0</v>
      </c>
      <c r="AB63" s="7">
        <f t="shared" si="8"/>
        <v>0</v>
      </c>
      <c r="AD63" s="7">
        <f t="shared" si="3"/>
        <v>0</v>
      </c>
      <c r="AF63" s="10"/>
      <c r="AG63" s="10"/>
      <c r="AH63" s="10"/>
      <c r="AI63" s="10"/>
    </row>
    <row r="64" spans="1:35">
      <c r="A64" s="1" t="s">
        <v>94</v>
      </c>
      <c r="B64" s="1" t="s">
        <v>95</v>
      </c>
      <c r="C64" s="84">
        <v>165.9</v>
      </c>
      <c r="D64" s="27">
        <v>163.19999999999999</v>
      </c>
      <c r="E64" s="27">
        <v>173.9</v>
      </c>
      <c r="F64" s="27">
        <v>164.5</v>
      </c>
      <c r="G64" s="5">
        <f t="shared" si="4"/>
        <v>166.875</v>
      </c>
      <c r="H64" s="84">
        <v>162.4</v>
      </c>
      <c r="I64" s="27">
        <v>166.4</v>
      </c>
      <c r="J64" s="27">
        <v>164.8</v>
      </c>
      <c r="K64" s="27">
        <v>178.1</v>
      </c>
      <c r="L64" s="5">
        <f t="shared" si="5"/>
        <v>167.92500000000001</v>
      </c>
      <c r="M64" s="84">
        <v>171.1</v>
      </c>
      <c r="N64" s="27">
        <v>176.5</v>
      </c>
      <c r="O64" s="27">
        <v>181.8</v>
      </c>
      <c r="P64" s="27">
        <v>191.8</v>
      </c>
      <c r="Q64" s="5">
        <f t="shared" si="6"/>
        <v>180.3</v>
      </c>
      <c r="R64" s="2">
        <f t="shared" si="7"/>
        <v>173.9375</v>
      </c>
      <c r="T64" s="7">
        <f t="shared" si="0"/>
        <v>9.5769791088289328E-4</v>
      </c>
      <c r="V64" s="40">
        <f>claims!D64</f>
        <v>0</v>
      </c>
      <c r="W64" s="40">
        <f>claims!E64</f>
        <v>0</v>
      </c>
      <c r="X64" s="40">
        <f>claims!F64</f>
        <v>0</v>
      </c>
      <c r="Z64" s="7">
        <f t="shared" si="1"/>
        <v>0</v>
      </c>
      <c r="AA64" s="7">
        <f t="shared" si="2"/>
        <v>0</v>
      </c>
      <c r="AB64" s="7">
        <f t="shared" si="8"/>
        <v>0</v>
      </c>
      <c r="AD64" s="7">
        <f t="shared" si="3"/>
        <v>0</v>
      </c>
      <c r="AF64" s="10"/>
      <c r="AG64" s="10"/>
      <c r="AH64" s="10"/>
      <c r="AI64" s="10"/>
    </row>
    <row r="65" spans="1:35">
      <c r="A65" s="1" t="s">
        <v>96</v>
      </c>
      <c r="B65" s="1" t="s">
        <v>97</v>
      </c>
      <c r="C65" s="84">
        <f>498.6+279.6</f>
        <v>778.2</v>
      </c>
      <c r="D65" s="27">
        <f>499.6+284.6</f>
        <v>784.2</v>
      </c>
      <c r="E65" s="27">
        <f>494.7+286.1</f>
        <v>780.8</v>
      </c>
      <c r="F65" s="27">
        <f>484.6+289.3</f>
        <v>773.90000000000009</v>
      </c>
      <c r="G65" s="5">
        <f t="shared" si="4"/>
        <v>779.27499999999998</v>
      </c>
      <c r="H65" s="84">
        <f>478.2+286</f>
        <v>764.2</v>
      </c>
      <c r="I65" s="27">
        <f>482.2+284.3</f>
        <v>766.5</v>
      </c>
      <c r="J65" s="27">
        <f>484.9+285.7</f>
        <v>770.59999999999991</v>
      </c>
      <c r="K65" s="27">
        <f>503.6+286</f>
        <v>789.6</v>
      </c>
      <c r="L65" s="5">
        <f t="shared" si="5"/>
        <v>772.72500000000002</v>
      </c>
      <c r="M65" s="84">
        <f>507.2+286.7</f>
        <v>793.9</v>
      </c>
      <c r="N65" s="27">
        <f>508.2+295.8</f>
        <v>804</v>
      </c>
      <c r="O65" s="27">
        <f>506.8+297.2</f>
        <v>804</v>
      </c>
      <c r="P65" s="27">
        <f>515+300.6</f>
        <v>815.6</v>
      </c>
      <c r="Q65" s="5">
        <f t="shared" si="6"/>
        <v>804.375</v>
      </c>
      <c r="R65" s="2">
        <f t="shared" si="7"/>
        <v>789.64166666666677</v>
      </c>
      <c r="T65" s="7">
        <f t="shared" si="0"/>
        <v>4.3477580999655204E-3</v>
      </c>
      <c r="V65" s="40">
        <f>claims!D65</f>
        <v>2</v>
      </c>
      <c r="W65" s="40">
        <f>claims!E65</f>
        <v>7</v>
      </c>
      <c r="X65" s="40">
        <f>claims!F65</f>
        <v>5</v>
      </c>
      <c r="Z65" s="7">
        <f t="shared" si="1"/>
        <v>2.5664880818709701E-3</v>
      </c>
      <c r="AA65" s="7">
        <f t="shared" si="2"/>
        <v>9.058850173088745E-3</v>
      </c>
      <c r="AB65" s="7">
        <f t="shared" si="8"/>
        <v>6.216006216006216E-3</v>
      </c>
      <c r="AD65" s="7">
        <f t="shared" si="3"/>
        <v>6.5553678460111842E-3</v>
      </c>
      <c r="AF65" s="10"/>
      <c r="AG65" s="10"/>
      <c r="AH65" s="10"/>
      <c r="AI65" s="10"/>
    </row>
    <row r="66" spans="1:35">
      <c r="A66" s="1" t="s">
        <v>98</v>
      </c>
      <c r="B66" s="1" t="s">
        <v>99</v>
      </c>
      <c r="C66" s="84">
        <v>1229.2</v>
      </c>
      <c r="D66" s="27">
        <v>1212.3</v>
      </c>
      <c r="E66" s="27">
        <v>1202.4000000000001</v>
      </c>
      <c r="F66" s="27">
        <v>1194</v>
      </c>
      <c r="G66" s="5">
        <f t="shared" si="4"/>
        <v>1209.4749999999999</v>
      </c>
      <c r="H66" s="84">
        <v>1182.9000000000001</v>
      </c>
      <c r="I66" s="27">
        <v>1189.2</v>
      </c>
      <c r="J66" s="27">
        <v>1214.8</v>
      </c>
      <c r="K66" s="27">
        <v>1229.5999999999999</v>
      </c>
      <c r="L66" s="5">
        <f t="shared" si="5"/>
        <v>1204.125</v>
      </c>
      <c r="M66" s="84">
        <v>1227.4000000000001</v>
      </c>
      <c r="N66" s="27">
        <v>1234.5</v>
      </c>
      <c r="O66" s="27">
        <v>1226.8</v>
      </c>
      <c r="P66" s="27">
        <v>1233.2</v>
      </c>
      <c r="Q66" s="5">
        <f t="shared" si="6"/>
        <v>1230.4749999999999</v>
      </c>
      <c r="R66" s="2">
        <f t="shared" si="7"/>
        <v>1218.1916666666666</v>
      </c>
      <c r="T66" s="7">
        <f t="shared" si="0"/>
        <v>6.7073495607423159E-3</v>
      </c>
      <c r="V66" s="40">
        <f>claims!D66</f>
        <v>5</v>
      </c>
      <c r="W66" s="40">
        <f>claims!E66</f>
        <v>8</v>
      </c>
      <c r="X66" s="40">
        <f>claims!F66</f>
        <v>3</v>
      </c>
      <c r="Z66" s="7">
        <f t="shared" si="1"/>
        <v>4.1340250935323177E-3</v>
      </c>
      <c r="AA66" s="7">
        <f t="shared" si="2"/>
        <v>6.643828506176684E-3</v>
      </c>
      <c r="AB66" s="7">
        <f t="shared" si="8"/>
        <v>2.438082854182328E-3</v>
      </c>
      <c r="AD66" s="7">
        <f t="shared" si="3"/>
        <v>4.122655111405445E-3</v>
      </c>
      <c r="AF66" s="10"/>
      <c r="AG66" s="10"/>
      <c r="AH66" s="10"/>
      <c r="AI66" s="10"/>
    </row>
    <row r="67" spans="1:35">
      <c r="A67" s="1" t="s">
        <v>100</v>
      </c>
      <c r="B67" s="1" t="s">
        <v>519</v>
      </c>
      <c r="C67" s="84">
        <v>828.5</v>
      </c>
      <c r="D67" s="27">
        <v>847.3</v>
      </c>
      <c r="E67" s="27">
        <v>862.2</v>
      </c>
      <c r="F67" s="27">
        <v>906.8</v>
      </c>
      <c r="G67" s="5">
        <f t="shared" si="4"/>
        <v>861.2</v>
      </c>
      <c r="H67" s="84">
        <v>938</v>
      </c>
      <c r="I67" s="27">
        <v>953</v>
      </c>
      <c r="J67" s="27">
        <v>963.4</v>
      </c>
      <c r="K67" s="27">
        <v>985.3</v>
      </c>
      <c r="L67" s="5">
        <f t="shared" si="5"/>
        <v>959.92499999999995</v>
      </c>
      <c r="M67" s="84">
        <v>993</v>
      </c>
      <c r="N67" s="27">
        <v>1005.7</v>
      </c>
      <c r="O67" s="27">
        <v>1013</v>
      </c>
      <c r="P67" s="27">
        <v>1029.5999999999999</v>
      </c>
      <c r="Q67" s="5">
        <f t="shared" si="6"/>
        <v>1010.3249999999999</v>
      </c>
      <c r="R67" s="2">
        <f t="shared" si="7"/>
        <v>968.67083333333323</v>
      </c>
      <c r="T67" s="7">
        <f t="shared" si="0"/>
        <v>5.3334906700195448E-3</v>
      </c>
      <c r="V67" s="40">
        <f>claims!D67</f>
        <v>3</v>
      </c>
      <c r="W67" s="40">
        <f>claims!E67</f>
        <v>2</v>
      </c>
      <c r="X67" s="40">
        <f>claims!F67</f>
        <v>3</v>
      </c>
      <c r="Z67" s="7">
        <f t="shared" si="1"/>
        <v>3.4835113794705061E-3</v>
      </c>
      <c r="AA67" s="7">
        <f t="shared" si="2"/>
        <v>2.0834961064666513E-3</v>
      </c>
      <c r="AB67" s="7">
        <f t="shared" si="8"/>
        <v>2.9693415485116175E-3</v>
      </c>
      <c r="AD67" s="7">
        <f t="shared" si="3"/>
        <v>2.7597547063231104E-3</v>
      </c>
      <c r="AF67" s="10"/>
      <c r="AG67" s="10"/>
      <c r="AH67" s="10"/>
      <c r="AI67" s="10"/>
    </row>
    <row r="68" spans="1:35">
      <c r="A68" s="1" t="s">
        <v>101</v>
      </c>
      <c r="B68" s="1" t="s">
        <v>102</v>
      </c>
      <c r="C68" s="84">
        <v>33.799999999999997</v>
      </c>
      <c r="D68" s="27">
        <v>32.799999999999997</v>
      </c>
      <c r="E68" s="27">
        <v>34.6</v>
      </c>
      <c r="F68" s="27">
        <v>35.4</v>
      </c>
      <c r="G68" s="5">
        <f t="shared" si="4"/>
        <v>34.15</v>
      </c>
      <c r="H68" s="84">
        <v>36.4</v>
      </c>
      <c r="I68" s="27">
        <v>36.4</v>
      </c>
      <c r="J68" s="27">
        <v>34</v>
      </c>
      <c r="K68" s="27">
        <v>30.7</v>
      </c>
      <c r="L68" s="5">
        <f t="shared" si="5"/>
        <v>34.375</v>
      </c>
      <c r="M68" s="84">
        <v>36.9</v>
      </c>
      <c r="N68" s="27">
        <v>36.4</v>
      </c>
      <c r="O68" s="27">
        <v>38.6</v>
      </c>
      <c r="P68" s="27">
        <v>39.799999999999997</v>
      </c>
      <c r="Q68" s="5">
        <f t="shared" si="6"/>
        <v>37.924999999999997</v>
      </c>
      <c r="R68" s="2">
        <f t="shared" si="7"/>
        <v>36.112500000000004</v>
      </c>
      <c r="T68" s="7">
        <f t="shared" si="0"/>
        <v>1.9883501721456551E-4</v>
      </c>
      <c r="V68" s="40">
        <f>claims!D68</f>
        <v>0</v>
      </c>
      <c r="W68" s="40">
        <f>claims!E68</f>
        <v>0</v>
      </c>
      <c r="X68" s="40">
        <f>claims!F68</f>
        <v>0</v>
      </c>
      <c r="Z68" s="7">
        <f t="shared" si="1"/>
        <v>0</v>
      </c>
      <c r="AA68" s="7">
        <f t="shared" si="2"/>
        <v>0</v>
      </c>
      <c r="AB68" s="7">
        <f t="shared" si="8"/>
        <v>0</v>
      </c>
      <c r="AD68" s="7">
        <f t="shared" si="3"/>
        <v>0</v>
      </c>
      <c r="AF68" s="10"/>
      <c r="AG68" s="10"/>
      <c r="AH68" s="10"/>
      <c r="AI68" s="10"/>
    </row>
    <row r="69" spans="1:35">
      <c r="A69" s="1" t="s">
        <v>103</v>
      </c>
      <c r="B69" s="1" t="s">
        <v>104</v>
      </c>
      <c r="C69" s="84">
        <v>36.1</v>
      </c>
      <c r="D69" s="27">
        <v>36.5</v>
      </c>
      <c r="E69" s="27">
        <v>36.5</v>
      </c>
      <c r="F69" s="27">
        <v>37.700000000000003</v>
      </c>
      <c r="G69" s="5">
        <f t="shared" ref="G69:G131" si="9">AVERAGE(C69:F69)</f>
        <v>36.700000000000003</v>
      </c>
      <c r="H69" s="84">
        <v>38</v>
      </c>
      <c r="I69" s="27">
        <v>36.299999999999997</v>
      </c>
      <c r="J69" s="27">
        <v>36.200000000000003</v>
      </c>
      <c r="K69" s="27">
        <v>37.4</v>
      </c>
      <c r="L69" s="5">
        <f t="shared" ref="L69:L131" si="10">AVERAGE(H69:K69)</f>
        <v>36.975000000000001</v>
      </c>
      <c r="M69" s="84">
        <v>35.5</v>
      </c>
      <c r="N69" s="27">
        <v>36.4</v>
      </c>
      <c r="O69" s="27">
        <v>35.5</v>
      </c>
      <c r="P69" s="27">
        <v>35.5</v>
      </c>
      <c r="Q69" s="5">
        <f t="shared" ref="Q69:Q131" si="11">AVERAGE(M69:P69)</f>
        <v>35.725000000000001</v>
      </c>
      <c r="R69" s="2">
        <f t="shared" ref="R69:R131" si="12">IF(G69&gt;0,(+G69+(L69*2)+(Q69*3))/6,IF(L69&gt;0,((L69*2)+(Q69*3))/5,Q69))</f>
        <v>36.304166666666667</v>
      </c>
      <c r="T69" s="7">
        <f t="shared" ref="T69:T132" si="13">+R69/$R$264</f>
        <v>1.9989033171691578E-4</v>
      </c>
      <c r="V69" s="40">
        <f>claims!D69</f>
        <v>0</v>
      </c>
      <c r="W69" s="40">
        <f>claims!E69</f>
        <v>1</v>
      </c>
      <c r="X69" s="40">
        <f>claims!F69</f>
        <v>0</v>
      </c>
      <c r="Z69" s="7">
        <f t="shared" ref="Z69:Z131" si="14">IF(G69&gt;100,IF(V69&lt;1,0,+V69/G69),IF(V69&lt;1,0,+V69/100))</f>
        <v>0</v>
      </c>
      <c r="AA69" s="7">
        <f t="shared" ref="AA69:AA131" si="15">IF(L69&gt;100,IF(W69&lt;1,0,+W69/L69),IF(W69&lt;1,0,+W69/100))</f>
        <v>0.01</v>
      </c>
      <c r="AB69" s="7">
        <f t="shared" si="8"/>
        <v>0</v>
      </c>
      <c r="AD69" s="7">
        <f t="shared" ref="AD69:AD131" si="16">(+Z69+(AA69*2)+(AB69*3))/6</f>
        <v>3.3333333333333335E-3</v>
      </c>
      <c r="AF69" s="10"/>
      <c r="AG69" s="10"/>
      <c r="AH69" s="10"/>
      <c r="AI69" s="10"/>
    </row>
    <row r="70" spans="1:35">
      <c r="A70" s="1" t="s">
        <v>105</v>
      </c>
      <c r="B70" s="1" t="s">
        <v>106</v>
      </c>
      <c r="C70" s="84">
        <v>548.9</v>
      </c>
      <c r="D70" s="27">
        <v>530.20000000000005</v>
      </c>
      <c r="E70" s="27">
        <v>524</v>
      </c>
      <c r="F70" s="27">
        <v>533.4</v>
      </c>
      <c r="G70" s="5">
        <f t="shared" si="9"/>
        <v>534.125</v>
      </c>
      <c r="H70" s="84">
        <v>528.20000000000005</v>
      </c>
      <c r="I70" s="27">
        <v>517.9</v>
      </c>
      <c r="J70" s="27">
        <v>512.6</v>
      </c>
      <c r="K70" s="27">
        <v>534.70000000000005</v>
      </c>
      <c r="L70" s="5">
        <f t="shared" si="10"/>
        <v>523.34999999999991</v>
      </c>
      <c r="M70" s="84">
        <v>529.79999999999995</v>
      </c>
      <c r="N70" s="27">
        <v>532.6</v>
      </c>
      <c r="O70" s="27">
        <v>528.9</v>
      </c>
      <c r="P70" s="27">
        <v>535.29999999999995</v>
      </c>
      <c r="Q70" s="5">
        <f t="shared" si="11"/>
        <v>531.65000000000009</v>
      </c>
      <c r="R70" s="2">
        <f t="shared" si="12"/>
        <v>529.29583333333335</v>
      </c>
      <c r="T70" s="7">
        <f t="shared" si="13"/>
        <v>2.914296881479574E-3</v>
      </c>
      <c r="V70" s="40">
        <f>claims!D70</f>
        <v>12</v>
      </c>
      <c r="W70" s="40">
        <f>claims!E70</f>
        <v>12</v>
      </c>
      <c r="X70" s="40">
        <f>claims!F70</f>
        <v>13</v>
      </c>
      <c r="Z70" s="7">
        <f t="shared" si="14"/>
        <v>2.2466651064825649E-2</v>
      </c>
      <c r="AA70" s="7">
        <f t="shared" si="15"/>
        <v>2.2929206076239616E-2</v>
      </c>
      <c r="AB70" s="7">
        <f t="shared" ref="AB70:AB132" si="17">IF(Q70&gt;100,IF(X70&lt;1,0,+X70/Q70),IF(X70&lt;1,0,+X70/100))</f>
        <v>2.4452177184237745E-2</v>
      </c>
      <c r="AD70" s="7">
        <f t="shared" si="16"/>
        <v>2.3613599128336354E-2</v>
      </c>
      <c r="AF70" s="10"/>
      <c r="AG70" s="10"/>
      <c r="AH70" s="10"/>
      <c r="AI70" s="10"/>
    </row>
    <row r="71" spans="1:35">
      <c r="A71" s="1" t="s">
        <v>107</v>
      </c>
      <c r="B71" s="1" t="s">
        <v>108</v>
      </c>
      <c r="C71" s="84">
        <v>20</v>
      </c>
      <c r="D71" s="27">
        <v>19</v>
      </c>
      <c r="E71" s="27">
        <v>19</v>
      </c>
      <c r="F71" s="27">
        <v>20</v>
      </c>
      <c r="G71" s="5">
        <f t="shared" si="9"/>
        <v>19.5</v>
      </c>
      <c r="H71" s="84">
        <v>20</v>
      </c>
      <c r="I71" s="27">
        <v>20</v>
      </c>
      <c r="J71" s="27">
        <v>20</v>
      </c>
      <c r="K71" s="27">
        <v>20</v>
      </c>
      <c r="L71" s="5">
        <f t="shared" si="10"/>
        <v>20</v>
      </c>
      <c r="M71" s="84">
        <v>20</v>
      </c>
      <c r="N71" s="27">
        <v>20</v>
      </c>
      <c r="O71" s="27">
        <v>18</v>
      </c>
      <c r="P71" s="27">
        <v>19</v>
      </c>
      <c r="Q71" s="5">
        <f t="shared" si="11"/>
        <v>19.25</v>
      </c>
      <c r="R71" s="2">
        <f t="shared" si="12"/>
        <v>19.541666666666668</v>
      </c>
      <c r="T71" s="7">
        <f t="shared" si="13"/>
        <v>1.0759619600049755E-4</v>
      </c>
      <c r="V71" s="40">
        <f>claims!D71</f>
        <v>0</v>
      </c>
      <c r="W71" s="40">
        <f>claims!E71</f>
        <v>0</v>
      </c>
      <c r="X71" s="40">
        <f>claims!F71</f>
        <v>0</v>
      </c>
      <c r="Z71" s="7">
        <f t="shared" si="14"/>
        <v>0</v>
      </c>
      <c r="AA71" s="7">
        <f t="shared" si="15"/>
        <v>0</v>
      </c>
      <c r="AB71" s="7">
        <f t="shared" si="17"/>
        <v>0</v>
      </c>
      <c r="AD71" s="7">
        <f t="shared" si="16"/>
        <v>0</v>
      </c>
      <c r="AF71" s="10"/>
      <c r="AG71" s="10"/>
      <c r="AH71" s="10"/>
      <c r="AI71" s="10"/>
    </row>
    <row r="72" spans="1:35">
      <c r="A72" s="1" t="s">
        <v>109</v>
      </c>
      <c r="B72" s="1" t="s">
        <v>556</v>
      </c>
      <c r="C72" s="84">
        <v>33</v>
      </c>
      <c r="D72" s="27">
        <v>34</v>
      </c>
      <c r="E72" s="27">
        <v>35</v>
      </c>
      <c r="F72" s="27">
        <v>37</v>
      </c>
      <c r="G72" s="5">
        <f t="shared" si="9"/>
        <v>34.75</v>
      </c>
      <c r="H72" s="84">
        <v>36</v>
      </c>
      <c r="I72" s="27">
        <v>36</v>
      </c>
      <c r="J72" s="27">
        <v>34</v>
      </c>
      <c r="K72" s="27">
        <v>34</v>
      </c>
      <c r="L72" s="5">
        <f t="shared" si="10"/>
        <v>35</v>
      </c>
      <c r="M72" s="84">
        <v>31</v>
      </c>
      <c r="N72" s="27">
        <v>33</v>
      </c>
      <c r="O72" s="27">
        <v>34</v>
      </c>
      <c r="P72" s="27">
        <v>35</v>
      </c>
      <c r="Q72" s="5">
        <f t="shared" si="11"/>
        <v>33.25</v>
      </c>
      <c r="R72" s="2">
        <f t="shared" si="12"/>
        <v>34.083333333333336</v>
      </c>
      <c r="T72" s="7">
        <f t="shared" si="13"/>
        <v>1.8766244846142217E-4</v>
      </c>
      <c r="V72" s="40">
        <f>claims!D72</f>
        <v>0</v>
      </c>
      <c r="W72" s="40">
        <f>claims!E72</f>
        <v>0</v>
      </c>
      <c r="X72" s="40">
        <f>claims!F72</f>
        <v>0</v>
      </c>
      <c r="Z72" s="7">
        <f t="shared" si="14"/>
        <v>0</v>
      </c>
      <c r="AA72" s="7">
        <f t="shared" si="15"/>
        <v>0</v>
      </c>
      <c r="AB72" s="7">
        <f t="shared" si="17"/>
        <v>0</v>
      </c>
      <c r="AD72" s="7">
        <f t="shared" si="16"/>
        <v>0</v>
      </c>
      <c r="AF72" s="10"/>
      <c r="AG72" s="10"/>
      <c r="AH72" s="10"/>
      <c r="AI72" s="10"/>
    </row>
    <row r="73" spans="1:35">
      <c r="A73" s="1" t="s">
        <v>110</v>
      </c>
      <c r="B73" s="1" t="s">
        <v>111</v>
      </c>
      <c r="C73" s="84">
        <v>70</v>
      </c>
      <c r="D73" s="27">
        <v>69.099999999999994</v>
      </c>
      <c r="E73" s="27">
        <v>65</v>
      </c>
      <c r="F73" s="27">
        <v>63.6</v>
      </c>
      <c r="G73" s="5">
        <f t="shared" si="9"/>
        <v>66.924999999999997</v>
      </c>
      <c r="H73" s="84">
        <v>69.5</v>
      </c>
      <c r="I73" s="27">
        <v>71.099999999999994</v>
      </c>
      <c r="J73" s="27">
        <v>70</v>
      </c>
      <c r="K73" s="27">
        <v>71</v>
      </c>
      <c r="L73" s="5">
        <f t="shared" si="10"/>
        <v>70.400000000000006</v>
      </c>
      <c r="M73" s="84">
        <v>69</v>
      </c>
      <c r="N73" s="27">
        <v>68.2</v>
      </c>
      <c r="O73" s="27">
        <v>66</v>
      </c>
      <c r="P73" s="27">
        <v>67.3</v>
      </c>
      <c r="Q73" s="5">
        <f t="shared" si="11"/>
        <v>67.625</v>
      </c>
      <c r="R73" s="2">
        <f t="shared" si="12"/>
        <v>68.433333333333337</v>
      </c>
      <c r="T73" s="7">
        <f t="shared" si="13"/>
        <v>3.7679316057828818E-4</v>
      </c>
      <c r="V73" s="40">
        <f>claims!D73</f>
        <v>0</v>
      </c>
      <c r="W73" s="40">
        <f>claims!E73</f>
        <v>0</v>
      </c>
      <c r="X73" s="40">
        <f>claims!F73</f>
        <v>0</v>
      </c>
      <c r="Z73" s="7">
        <f t="shared" si="14"/>
        <v>0</v>
      </c>
      <c r="AA73" s="7">
        <f t="shared" si="15"/>
        <v>0</v>
      </c>
      <c r="AB73" s="7">
        <f t="shared" si="17"/>
        <v>0</v>
      </c>
      <c r="AD73" s="7">
        <f t="shared" si="16"/>
        <v>0</v>
      </c>
      <c r="AF73" s="10"/>
      <c r="AG73" s="10"/>
      <c r="AH73" s="10"/>
      <c r="AI73" s="10"/>
    </row>
    <row r="74" spans="1:35">
      <c r="A74" s="1" t="s">
        <v>112</v>
      </c>
      <c r="B74" s="1" t="s">
        <v>113</v>
      </c>
      <c r="C74" s="84">
        <v>29</v>
      </c>
      <c r="D74" s="27">
        <v>29</v>
      </c>
      <c r="E74" s="27">
        <v>30</v>
      </c>
      <c r="F74" s="27">
        <v>30</v>
      </c>
      <c r="G74" s="5">
        <f t="shared" si="9"/>
        <v>29.5</v>
      </c>
      <c r="H74" s="84">
        <v>31</v>
      </c>
      <c r="I74" s="27">
        <v>31</v>
      </c>
      <c r="J74" s="27">
        <v>32</v>
      </c>
      <c r="K74" s="27">
        <v>33</v>
      </c>
      <c r="L74" s="5">
        <f t="shared" si="10"/>
        <v>31.75</v>
      </c>
      <c r="M74" s="84">
        <v>32</v>
      </c>
      <c r="N74" s="27">
        <v>34</v>
      </c>
      <c r="O74" s="27">
        <v>33</v>
      </c>
      <c r="P74" s="27">
        <v>34</v>
      </c>
      <c r="Q74" s="5">
        <f t="shared" si="11"/>
        <v>33.25</v>
      </c>
      <c r="R74" s="2">
        <f t="shared" si="12"/>
        <v>32.125</v>
      </c>
      <c r="T74" s="7">
        <f t="shared" si="13"/>
        <v>1.7687988724175607E-4</v>
      </c>
      <c r="V74" s="40">
        <f>claims!D74</f>
        <v>0</v>
      </c>
      <c r="W74" s="40">
        <f>claims!E74</f>
        <v>0</v>
      </c>
      <c r="X74" s="40">
        <f>claims!F74</f>
        <v>0</v>
      </c>
      <c r="Z74" s="7">
        <f t="shared" si="14"/>
        <v>0</v>
      </c>
      <c r="AA74" s="7">
        <f t="shared" si="15"/>
        <v>0</v>
      </c>
      <c r="AB74" s="7">
        <f t="shared" si="17"/>
        <v>0</v>
      </c>
      <c r="AD74" s="7">
        <f t="shared" si="16"/>
        <v>0</v>
      </c>
      <c r="AF74" s="10"/>
      <c r="AG74" s="10"/>
      <c r="AH74" s="10"/>
      <c r="AI74" s="10"/>
    </row>
    <row r="75" spans="1:35">
      <c r="A75" s="1" t="s">
        <v>114</v>
      </c>
      <c r="B75" s="1" t="s">
        <v>115</v>
      </c>
      <c r="C75" s="84">
        <v>179.2</v>
      </c>
      <c r="D75" s="27">
        <v>184</v>
      </c>
      <c r="E75" s="27">
        <v>184.1</v>
      </c>
      <c r="F75" s="27">
        <v>188.3</v>
      </c>
      <c r="G75" s="5">
        <f t="shared" si="9"/>
        <v>183.89999999999998</v>
      </c>
      <c r="H75" s="84">
        <v>194.9</v>
      </c>
      <c r="I75" s="27">
        <v>200.9</v>
      </c>
      <c r="J75" s="27">
        <v>200.1</v>
      </c>
      <c r="K75" s="27">
        <v>211.1</v>
      </c>
      <c r="L75" s="5">
        <f t="shared" si="10"/>
        <v>201.75</v>
      </c>
      <c r="M75" s="84">
        <v>219.2</v>
      </c>
      <c r="N75" s="27">
        <v>228.5</v>
      </c>
      <c r="O75" s="27">
        <v>236.2</v>
      </c>
      <c r="P75" s="27">
        <v>249.2</v>
      </c>
      <c r="Q75" s="5">
        <f t="shared" si="11"/>
        <v>233.27499999999998</v>
      </c>
      <c r="R75" s="2">
        <f t="shared" si="12"/>
        <v>214.53749999999999</v>
      </c>
      <c r="T75" s="7">
        <f t="shared" si="13"/>
        <v>1.1812410524242255E-3</v>
      </c>
      <c r="V75" s="40">
        <f>claims!D75</f>
        <v>0</v>
      </c>
      <c r="W75" s="40">
        <f>claims!E75</f>
        <v>0</v>
      </c>
      <c r="X75" s="40">
        <f>claims!F75</f>
        <v>1</v>
      </c>
      <c r="Z75" s="7">
        <f t="shared" si="14"/>
        <v>0</v>
      </c>
      <c r="AA75" s="7">
        <f t="shared" si="15"/>
        <v>0</v>
      </c>
      <c r="AB75" s="7">
        <f t="shared" si="17"/>
        <v>4.2867859822098382E-3</v>
      </c>
      <c r="AD75" s="7">
        <f t="shared" si="16"/>
        <v>2.1433929911049191E-3</v>
      </c>
      <c r="AF75" s="10"/>
      <c r="AG75" s="10"/>
      <c r="AH75" s="10"/>
      <c r="AI75" s="10"/>
    </row>
    <row r="76" spans="1:35">
      <c r="A76" s="1" t="s">
        <v>116</v>
      </c>
      <c r="B76" s="1" t="s">
        <v>117</v>
      </c>
      <c r="C76" s="84">
        <v>12.7</v>
      </c>
      <c r="D76" s="27">
        <v>12.5</v>
      </c>
      <c r="E76" s="27">
        <v>13.5</v>
      </c>
      <c r="F76" s="27">
        <v>13.2</v>
      </c>
      <c r="G76" s="5">
        <f t="shared" si="9"/>
        <v>12.975000000000001</v>
      </c>
      <c r="H76" s="84">
        <v>13.1</v>
      </c>
      <c r="I76" s="27">
        <v>12.6</v>
      </c>
      <c r="J76" s="27">
        <v>13</v>
      </c>
      <c r="K76" s="27">
        <v>13.7</v>
      </c>
      <c r="L76" s="5">
        <f t="shared" si="10"/>
        <v>13.100000000000001</v>
      </c>
      <c r="M76" s="84">
        <v>14</v>
      </c>
      <c r="N76" s="27">
        <v>14.9</v>
      </c>
      <c r="O76" s="27">
        <v>15.1</v>
      </c>
      <c r="P76" s="27">
        <v>15.6</v>
      </c>
      <c r="Q76" s="5">
        <f t="shared" si="11"/>
        <v>14.9</v>
      </c>
      <c r="R76" s="2">
        <f t="shared" si="12"/>
        <v>13.979166666666666</v>
      </c>
      <c r="T76" s="7">
        <f t="shared" si="13"/>
        <v>7.696913381272265E-5</v>
      </c>
      <c r="V76" s="40">
        <f>claims!D76</f>
        <v>0</v>
      </c>
      <c r="W76" s="40">
        <f>claims!E76</f>
        <v>0</v>
      </c>
      <c r="X76" s="40">
        <f>claims!F76</f>
        <v>0</v>
      </c>
      <c r="Z76" s="7">
        <f t="shared" si="14"/>
        <v>0</v>
      </c>
      <c r="AA76" s="7">
        <f t="shared" si="15"/>
        <v>0</v>
      </c>
      <c r="AB76" s="7">
        <f t="shared" si="17"/>
        <v>0</v>
      </c>
      <c r="AD76" s="7">
        <f t="shared" si="16"/>
        <v>0</v>
      </c>
      <c r="AF76" s="10"/>
      <c r="AG76" s="10"/>
      <c r="AH76" s="10"/>
      <c r="AI76" s="10"/>
    </row>
    <row r="77" spans="1:35">
      <c r="A77" s="1" t="s">
        <v>118</v>
      </c>
      <c r="B77" s="1" t="s">
        <v>119</v>
      </c>
      <c r="C77" s="84">
        <v>30</v>
      </c>
      <c r="D77" s="27">
        <v>24</v>
      </c>
      <c r="E77" s="27">
        <v>27</v>
      </c>
      <c r="F77" s="27">
        <v>29</v>
      </c>
      <c r="G77" s="5">
        <f t="shared" si="9"/>
        <v>27.5</v>
      </c>
      <c r="H77" s="84">
        <v>29.8</v>
      </c>
      <c r="I77" s="27">
        <v>29</v>
      </c>
      <c r="J77" s="27">
        <v>27</v>
      </c>
      <c r="K77" s="27">
        <v>31</v>
      </c>
      <c r="L77" s="5">
        <f t="shared" si="10"/>
        <v>29.2</v>
      </c>
      <c r="M77" s="84">
        <v>29.3</v>
      </c>
      <c r="N77" s="27">
        <v>31</v>
      </c>
      <c r="O77" s="27">
        <v>35</v>
      </c>
      <c r="P77" s="27">
        <v>32</v>
      </c>
      <c r="Q77" s="5">
        <f t="shared" si="11"/>
        <v>31.824999999999999</v>
      </c>
      <c r="R77" s="2">
        <f t="shared" si="12"/>
        <v>30.229166666666668</v>
      </c>
      <c r="T77" s="7">
        <f t="shared" si="13"/>
        <v>1.6644145031633468E-4</v>
      </c>
      <c r="V77" s="40">
        <f>claims!D77</f>
        <v>0</v>
      </c>
      <c r="W77" s="40">
        <f>claims!E77</f>
        <v>0</v>
      </c>
      <c r="X77" s="40">
        <f>claims!F77</f>
        <v>0</v>
      </c>
      <c r="Z77" s="7">
        <f t="shared" si="14"/>
        <v>0</v>
      </c>
      <c r="AA77" s="7">
        <f t="shared" si="15"/>
        <v>0</v>
      </c>
      <c r="AB77" s="7">
        <f t="shared" si="17"/>
        <v>0</v>
      </c>
      <c r="AD77" s="7">
        <f t="shared" si="16"/>
        <v>0</v>
      </c>
      <c r="AF77" s="10"/>
      <c r="AG77" s="10"/>
      <c r="AH77" s="10"/>
      <c r="AI77" s="10"/>
    </row>
    <row r="78" spans="1:35">
      <c r="A78" s="1" t="s">
        <v>120</v>
      </c>
      <c r="B78" s="1" t="s">
        <v>486</v>
      </c>
      <c r="C78" s="84">
        <v>19</v>
      </c>
      <c r="D78" s="27">
        <v>20</v>
      </c>
      <c r="E78" s="27">
        <v>21</v>
      </c>
      <c r="F78" s="27">
        <v>22</v>
      </c>
      <c r="G78" s="5">
        <f t="shared" si="9"/>
        <v>20.5</v>
      </c>
      <c r="H78" s="84">
        <v>22</v>
      </c>
      <c r="I78" s="27">
        <v>21</v>
      </c>
      <c r="J78" s="27">
        <v>21</v>
      </c>
      <c r="K78" s="27">
        <v>19</v>
      </c>
      <c r="L78" s="5">
        <f t="shared" si="10"/>
        <v>20.75</v>
      </c>
      <c r="M78" s="84">
        <v>17</v>
      </c>
      <c r="N78" s="27">
        <v>16.5</v>
      </c>
      <c r="O78" s="27">
        <v>17</v>
      </c>
      <c r="P78" s="27">
        <v>19</v>
      </c>
      <c r="Q78" s="5">
        <f t="shared" si="11"/>
        <v>17.375</v>
      </c>
      <c r="R78" s="2">
        <f t="shared" si="12"/>
        <v>19.020833333333332</v>
      </c>
      <c r="T78" s="7">
        <f t="shared" si="13"/>
        <v>1.0472849354845868E-4</v>
      </c>
      <c r="V78" s="40">
        <f>claims!D78</f>
        <v>0</v>
      </c>
      <c r="W78" s="40">
        <f>claims!E78</f>
        <v>0</v>
      </c>
      <c r="X78" s="40">
        <f>claims!F78</f>
        <v>0</v>
      </c>
      <c r="Z78" s="7">
        <f t="shared" si="14"/>
        <v>0</v>
      </c>
      <c r="AA78" s="7">
        <f t="shared" si="15"/>
        <v>0</v>
      </c>
      <c r="AB78" s="7">
        <f t="shared" si="17"/>
        <v>0</v>
      </c>
      <c r="AD78" s="7">
        <f t="shared" si="16"/>
        <v>0</v>
      </c>
      <c r="AF78" s="10"/>
      <c r="AG78" s="10"/>
      <c r="AH78" s="10"/>
      <c r="AI78" s="10"/>
    </row>
    <row r="79" spans="1:35">
      <c r="A79" s="1" t="s">
        <v>121</v>
      </c>
      <c r="B79" s="1" t="s">
        <v>122</v>
      </c>
      <c r="C79" s="84">
        <v>105</v>
      </c>
      <c r="D79" s="27">
        <v>102.1</v>
      </c>
      <c r="E79" s="27">
        <v>102.2</v>
      </c>
      <c r="F79" s="27">
        <v>101.3</v>
      </c>
      <c r="G79" s="5">
        <f t="shared" si="9"/>
        <v>102.65</v>
      </c>
      <c r="H79" s="84">
        <v>97.7</v>
      </c>
      <c r="I79" s="27">
        <v>97.7</v>
      </c>
      <c r="J79" s="27">
        <v>103.8</v>
      </c>
      <c r="K79" s="27">
        <v>109.1</v>
      </c>
      <c r="L79" s="5">
        <f t="shared" si="10"/>
        <v>102.07499999999999</v>
      </c>
      <c r="M79" s="84">
        <v>110.8</v>
      </c>
      <c r="N79" s="27">
        <v>112.3</v>
      </c>
      <c r="O79" s="27">
        <v>107.9</v>
      </c>
      <c r="P79" s="27">
        <v>104.6</v>
      </c>
      <c r="Q79" s="5">
        <f t="shared" si="11"/>
        <v>108.9</v>
      </c>
      <c r="R79" s="2">
        <f t="shared" si="12"/>
        <v>105.58333333333333</v>
      </c>
      <c r="T79" s="7">
        <f t="shared" si="13"/>
        <v>5.81340641077315E-4</v>
      </c>
      <c r="V79" s="40">
        <f>claims!D79</f>
        <v>2</v>
      </c>
      <c r="W79" s="40">
        <f>claims!E79</f>
        <v>1</v>
      </c>
      <c r="X79" s="40">
        <f>claims!F79</f>
        <v>0</v>
      </c>
      <c r="Z79" s="7">
        <f t="shared" si="14"/>
        <v>1.948368241597662E-2</v>
      </c>
      <c r="AA79" s="7">
        <f t="shared" si="15"/>
        <v>9.7967180994366892E-3</v>
      </c>
      <c r="AB79" s="7">
        <f t="shared" si="17"/>
        <v>0</v>
      </c>
      <c r="AD79" s="7">
        <f t="shared" si="16"/>
        <v>6.5128531024749997E-3</v>
      </c>
      <c r="AF79" s="10"/>
      <c r="AG79" s="10"/>
      <c r="AH79" s="10"/>
      <c r="AI79" s="10"/>
    </row>
    <row r="80" spans="1:35">
      <c r="A80" s="1" t="s">
        <v>471</v>
      </c>
      <c r="B80" s="1" t="s">
        <v>520</v>
      </c>
      <c r="C80" s="84">
        <v>4.2</v>
      </c>
      <c r="D80" s="27">
        <v>4.7</v>
      </c>
      <c r="E80" s="27">
        <v>4</v>
      </c>
      <c r="F80" s="27">
        <v>5</v>
      </c>
      <c r="G80" s="5">
        <f t="shared" si="9"/>
        <v>4.4749999999999996</v>
      </c>
      <c r="H80" s="84">
        <v>5</v>
      </c>
      <c r="I80" s="27">
        <v>5</v>
      </c>
      <c r="J80" s="27">
        <v>5</v>
      </c>
      <c r="K80" s="27">
        <v>5</v>
      </c>
      <c r="L80" s="5">
        <f t="shared" si="10"/>
        <v>5</v>
      </c>
      <c r="M80" s="84">
        <v>5</v>
      </c>
      <c r="N80" s="27">
        <v>4.4000000000000004</v>
      </c>
      <c r="O80" s="27">
        <v>4.8</v>
      </c>
      <c r="P80" s="27">
        <v>5.6</v>
      </c>
      <c r="Q80" s="5">
        <f t="shared" si="11"/>
        <v>4.9499999999999993</v>
      </c>
      <c r="R80" s="2">
        <f t="shared" si="12"/>
        <v>4.8874999999999993</v>
      </c>
      <c r="T80" s="7">
        <f t="shared" si="13"/>
        <v>2.6910519809932536E-5</v>
      </c>
      <c r="V80" s="40">
        <f>claims!D80</f>
        <v>0</v>
      </c>
      <c r="W80" s="40">
        <f>claims!E80</f>
        <v>0</v>
      </c>
      <c r="X80" s="40">
        <f>claims!F80</f>
        <v>0</v>
      </c>
      <c r="Z80" s="7">
        <f t="shared" si="14"/>
        <v>0</v>
      </c>
      <c r="AA80" s="7">
        <f t="shared" si="15"/>
        <v>0</v>
      </c>
      <c r="AB80" s="7">
        <f t="shared" si="17"/>
        <v>0</v>
      </c>
      <c r="AD80" s="7">
        <f t="shared" si="16"/>
        <v>0</v>
      </c>
      <c r="AF80" s="10"/>
      <c r="AG80" s="10"/>
      <c r="AH80" s="10"/>
      <c r="AI80" s="10"/>
    </row>
    <row r="81" spans="1:35">
      <c r="A81" s="1" t="s">
        <v>123</v>
      </c>
      <c r="B81" s="1" t="s">
        <v>481</v>
      </c>
      <c r="C81" s="84">
        <v>187</v>
      </c>
      <c r="D81" s="27">
        <v>186.8</v>
      </c>
      <c r="E81" s="27">
        <v>192.5</v>
      </c>
      <c r="F81" s="27">
        <v>192.4</v>
      </c>
      <c r="G81" s="5">
        <f t="shared" si="9"/>
        <v>189.67499999999998</v>
      </c>
      <c r="H81" s="84">
        <v>188.6</v>
      </c>
      <c r="I81" s="27">
        <v>187.5</v>
      </c>
      <c r="J81" s="27">
        <v>187.2</v>
      </c>
      <c r="K81" s="27">
        <v>186.9</v>
      </c>
      <c r="L81" s="5">
        <f t="shared" si="10"/>
        <v>187.54999999999998</v>
      </c>
      <c r="M81" s="84">
        <v>190</v>
      </c>
      <c r="N81" s="27">
        <v>204.4</v>
      </c>
      <c r="O81" s="27">
        <v>217.6</v>
      </c>
      <c r="P81" s="27">
        <v>226.2</v>
      </c>
      <c r="Q81" s="5">
        <f t="shared" si="11"/>
        <v>209.55</v>
      </c>
      <c r="R81" s="2">
        <f t="shared" si="12"/>
        <v>198.9041666666667</v>
      </c>
      <c r="T81" s="7">
        <f t="shared" si="13"/>
        <v>1.0951640956238277E-3</v>
      </c>
      <c r="V81" s="40">
        <f>claims!D81</f>
        <v>1</v>
      </c>
      <c r="W81" s="40">
        <f>claims!E81</f>
        <v>0</v>
      </c>
      <c r="X81" s="40">
        <f>claims!F81</f>
        <v>2</v>
      </c>
      <c r="Z81" s="7">
        <f t="shared" si="14"/>
        <v>5.2721760906814293E-3</v>
      </c>
      <c r="AA81" s="7">
        <f t="shared" si="15"/>
        <v>0</v>
      </c>
      <c r="AB81" s="7">
        <f t="shared" si="17"/>
        <v>9.54426151276545E-3</v>
      </c>
      <c r="AD81" s="7">
        <f t="shared" si="16"/>
        <v>5.650826771496296E-3</v>
      </c>
      <c r="AF81" s="10"/>
      <c r="AG81" s="10"/>
      <c r="AH81" s="10"/>
      <c r="AI81" s="10"/>
    </row>
    <row r="82" spans="1:35">
      <c r="A82" s="1" t="s">
        <v>124</v>
      </c>
      <c r="B82" s="1" t="s">
        <v>125</v>
      </c>
      <c r="C82" s="84">
        <v>52</v>
      </c>
      <c r="D82" s="27">
        <v>51</v>
      </c>
      <c r="E82" s="27">
        <v>48</v>
      </c>
      <c r="F82" s="27">
        <v>46</v>
      </c>
      <c r="G82" s="5">
        <f t="shared" si="9"/>
        <v>49.25</v>
      </c>
      <c r="H82" s="84">
        <v>50</v>
      </c>
      <c r="I82" s="27">
        <v>49</v>
      </c>
      <c r="J82" s="27">
        <v>49.7</v>
      </c>
      <c r="K82" s="27">
        <v>50.7</v>
      </c>
      <c r="L82" s="5">
        <f t="shared" si="10"/>
        <v>49.849999999999994</v>
      </c>
      <c r="M82" s="84">
        <v>51</v>
      </c>
      <c r="N82" s="27">
        <v>49.9</v>
      </c>
      <c r="O82" s="27">
        <v>51.1</v>
      </c>
      <c r="P82" s="27">
        <v>52.8</v>
      </c>
      <c r="Q82" s="5">
        <f t="shared" si="11"/>
        <v>51.2</v>
      </c>
      <c r="R82" s="2">
        <f t="shared" si="12"/>
        <v>50.425000000000004</v>
      </c>
      <c r="T82" s="7">
        <f t="shared" si="13"/>
        <v>2.77639480596593E-4</v>
      </c>
      <c r="V82" s="40">
        <f>claims!D82</f>
        <v>0</v>
      </c>
      <c r="W82" s="40">
        <f>claims!E82</f>
        <v>0</v>
      </c>
      <c r="X82" s="40">
        <f>claims!F82</f>
        <v>0</v>
      </c>
      <c r="Z82" s="7">
        <f t="shared" si="14"/>
        <v>0</v>
      </c>
      <c r="AA82" s="7">
        <f t="shared" si="15"/>
        <v>0</v>
      </c>
      <c r="AB82" s="7">
        <f t="shared" si="17"/>
        <v>0</v>
      </c>
      <c r="AD82" s="7">
        <f t="shared" si="16"/>
        <v>0</v>
      </c>
      <c r="AF82" s="10"/>
      <c r="AG82" s="10"/>
      <c r="AH82" s="10"/>
      <c r="AI82" s="10"/>
    </row>
    <row r="83" spans="1:35">
      <c r="A83" s="1" t="s">
        <v>126</v>
      </c>
      <c r="B83" s="1" t="s">
        <v>521</v>
      </c>
      <c r="C83" s="84">
        <v>113.2</v>
      </c>
      <c r="D83" s="27">
        <v>116.4</v>
      </c>
      <c r="E83" s="27">
        <v>117</v>
      </c>
      <c r="F83" s="27">
        <v>116.8</v>
      </c>
      <c r="G83" s="5">
        <f t="shared" si="9"/>
        <v>115.85000000000001</v>
      </c>
      <c r="H83" s="84">
        <v>115.7</v>
      </c>
      <c r="I83" s="27">
        <v>116.5</v>
      </c>
      <c r="J83" s="27">
        <v>117.7</v>
      </c>
      <c r="K83" s="27">
        <v>115.8</v>
      </c>
      <c r="L83" s="5">
        <f t="shared" si="10"/>
        <v>116.425</v>
      </c>
      <c r="M83" s="84">
        <v>117.1</v>
      </c>
      <c r="N83" s="27">
        <v>119.2</v>
      </c>
      <c r="O83" s="27">
        <v>117.7</v>
      </c>
      <c r="P83" s="27">
        <v>128.9</v>
      </c>
      <c r="Q83" s="5">
        <f t="shared" si="11"/>
        <v>120.72499999999999</v>
      </c>
      <c r="R83" s="2">
        <f t="shared" si="12"/>
        <v>118.47916666666667</v>
      </c>
      <c r="T83" s="7">
        <f t="shared" si="13"/>
        <v>6.5234495378979694E-4</v>
      </c>
      <c r="V83" s="40">
        <f>claims!D83</f>
        <v>0</v>
      </c>
      <c r="W83" s="40">
        <f>claims!E83</f>
        <v>0</v>
      </c>
      <c r="X83" s="40">
        <f>claims!F83</f>
        <v>1</v>
      </c>
      <c r="Z83" s="7">
        <f t="shared" si="14"/>
        <v>0</v>
      </c>
      <c r="AA83" s="7">
        <f t="shared" si="15"/>
        <v>0</v>
      </c>
      <c r="AB83" s="7">
        <f t="shared" si="17"/>
        <v>8.2832884655208126E-3</v>
      </c>
      <c r="AD83" s="7">
        <f t="shared" si="16"/>
        <v>4.1416442327604063E-3</v>
      </c>
      <c r="AF83" s="10"/>
      <c r="AG83" s="10"/>
      <c r="AH83" s="10"/>
      <c r="AI83" s="10"/>
    </row>
    <row r="84" spans="1:35">
      <c r="A84" s="1" t="s">
        <v>127</v>
      </c>
      <c r="B84" s="1" t="s">
        <v>128</v>
      </c>
      <c r="C84" s="84">
        <v>10</v>
      </c>
      <c r="D84" s="27">
        <v>10.5</v>
      </c>
      <c r="E84" s="27">
        <v>10.5</v>
      </c>
      <c r="F84" s="27">
        <v>10.5</v>
      </c>
      <c r="G84" s="5">
        <f t="shared" si="9"/>
        <v>10.375</v>
      </c>
      <c r="H84" s="84">
        <v>9.5</v>
      </c>
      <c r="I84" s="27">
        <v>9.5</v>
      </c>
      <c r="J84" s="27">
        <v>9</v>
      </c>
      <c r="K84" s="27">
        <v>9</v>
      </c>
      <c r="L84" s="5">
        <f t="shared" si="10"/>
        <v>9.25</v>
      </c>
      <c r="M84" s="84">
        <v>10.5</v>
      </c>
      <c r="N84" s="27">
        <v>10.5</v>
      </c>
      <c r="O84" s="27">
        <v>9.5</v>
      </c>
      <c r="P84" s="27">
        <v>10.5</v>
      </c>
      <c r="Q84" s="5">
        <f t="shared" si="11"/>
        <v>10.25</v>
      </c>
      <c r="R84" s="2">
        <f t="shared" si="12"/>
        <v>9.9375</v>
      </c>
      <c r="T84" s="7">
        <f t="shared" si="13"/>
        <v>5.4715762784901195E-5</v>
      </c>
      <c r="V84" s="40">
        <f>claims!D84</f>
        <v>0</v>
      </c>
      <c r="W84" s="40">
        <f>claims!E84</f>
        <v>0</v>
      </c>
      <c r="X84" s="40">
        <f>claims!F84</f>
        <v>0</v>
      </c>
      <c r="Z84" s="7">
        <f t="shared" si="14"/>
        <v>0</v>
      </c>
      <c r="AA84" s="7">
        <f t="shared" si="15"/>
        <v>0</v>
      </c>
      <c r="AB84" s="7">
        <f t="shared" si="17"/>
        <v>0</v>
      </c>
      <c r="AD84" s="7">
        <f t="shared" si="16"/>
        <v>0</v>
      </c>
      <c r="AF84" s="10"/>
      <c r="AG84" s="10"/>
      <c r="AH84" s="10"/>
      <c r="AI84" s="10"/>
    </row>
    <row r="85" spans="1:35">
      <c r="A85" s="1" t="s">
        <v>557</v>
      </c>
      <c r="B85" s="1" t="s">
        <v>558</v>
      </c>
      <c r="C85" s="84">
        <v>56.6</v>
      </c>
      <c r="D85" s="27">
        <v>58.5</v>
      </c>
      <c r="E85" s="27">
        <v>58.1</v>
      </c>
      <c r="F85" s="27">
        <v>59.4</v>
      </c>
      <c r="G85" s="5">
        <f t="shared" si="9"/>
        <v>58.15</v>
      </c>
      <c r="H85" s="84">
        <v>59.8</v>
      </c>
      <c r="I85" s="27">
        <v>59</v>
      </c>
      <c r="J85" s="27">
        <v>58.3</v>
      </c>
      <c r="K85" s="27">
        <v>57.7</v>
      </c>
      <c r="L85" s="5">
        <f t="shared" si="10"/>
        <v>58.7</v>
      </c>
      <c r="M85" s="84">
        <v>59</v>
      </c>
      <c r="N85" s="27">
        <v>59.2</v>
      </c>
      <c r="O85" s="27">
        <v>58.5</v>
      </c>
      <c r="P85" s="27">
        <v>58.2</v>
      </c>
      <c r="Q85" s="5">
        <f>AVERAGE(M85:P85)</f>
        <v>58.724999999999994</v>
      </c>
      <c r="R85" s="2">
        <f>IF(G85&gt;0,(+G85+(L85*2)+(Q85*3))/6,IF(L85&gt;0,((L85*2)+(Q85*3))/5,Q85))</f>
        <v>58.620833333333337</v>
      </c>
      <c r="T85" s="7">
        <f t="shared" si="13"/>
        <v>3.2276564638187633E-4</v>
      </c>
      <c r="V85" s="40">
        <f>claims!D85</f>
        <v>0</v>
      </c>
      <c r="W85" s="40">
        <f>claims!E85</f>
        <v>0</v>
      </c>
      <c r="X85" s="40">
        <f>claims!F85</f>
        <v>0</v>
      </c>
      <c r="Z85" s="7">
        <f>IF(G85&gt;100,IF(V85&lt;1,0,+V85/G85),IF(V85&lt;1,0,+V85/100))</f>
        <v>0</v>
      </c>
      <c r="AA85" s="7">
        <f>IF(L85&gt;100,IF(W85&lt;1,0,+W85/L85),IF(W85&lt;1,0,+W85/100))</f>
        <v>0</v>
      </c>
      <c r="AB85" s="7">
        <f>IF(Q85&gt;100,IF(X85&lt;1,0,+X85/Q85),IF(X85&lt;1,0,+X85/100))</f>
        <v>0</v>
      </c>
      <c r="AD85" s="7">
        <f>(+Z85+(AA85*2)+(AB85*3))/6</f>
        <v>0</v>
      </c>
      <c r="AF85" s="10"/>
      <c r="AG85" s="10"/>
      <c r="AH85" s="10"/>
      <c r="AI85" s="10"/>
    </row>
    <row r="86" spans="1:35">
      <c r="A86" s="1" t="s">
        <v>129</v>
      </c>
      <c r="B86" s="1" t="s">
        <v>130</v>
      </c>
      <c r="C86" s="84">
        <v>9</v>
      </c>
      <c r="D86" s="27">
        <v>9</v>
      </c>
      <c r="E86" s="27">
        <v>8.6999999999999993</v>
      </c>
      <c r="F86" s="27">
        <v>8.3000000000000007</v>
      </c>
      <c r="G86" s="5">
        <f t="shared" si="9"/>
        <v>8.75</v>
      </c>
      <c r="H86" s="84">
        <v>9</v>
      </c>
      <c r="I86" s="27">
        <v>8</v>
      </c>
      <c r="J86" s="27">
        <v>8</v>
      </c>
      <c r="K86" s="27">
        <v>9</v>
      </c>
      <c r="L86" s="5">
        <f t="shared" si="10"/>
        <v>8.5</v>
      </c>
      <c r="M86" s="84">
        <v>9</v>
      </c>
      <c r="N86" s="27">
        <v>11</v>
      </c>
      <c r="O86" s="27">
        <v>12</v>
      </c>
      <c r="P86" s="27">
        <v>12</v>
      </c>
      <c r="Q86" s="5">
        <f t="shared" si="11"/>
        <v>11</v>
      </c>
      <c r="R86" s="2">
        <f t="shared" si="12"/>
        <v>9.7916666666666661</v>
      </c>
      <c r="T86" s="7">
        <f t="shared" si="13"/>
        <v>5.391280609833032E-5</v>
      </c>
      <c r="V86" s="40">
        <f>claims!D86</f>
        <v>0</v>
      </c>
      <c r="W86" s="40">
        <f>claims!E86</f>
        <v>0</v>
      </c>
      <c r="X86" s="40">
        <f>claims!F86</f>
        <v>0</v>
      </c>
      <c r="Z86" s="7">
        <f t="shared" si="14"/>
        <v>0</v>
      </c>
      <c r="AA86" s="7">
        <f t="shared" si="15"/>
        <v>0</v>
      </c>
      <c r="AB86" s="7">
        <f t="shared" si="17"/>
        <v>0</v>
      </c>
      <c r="AD86" s="7">
        <f t="shared" si="16"/>
        <v>0</v>
      </c>
      <c r="AF86" s="10"/>
      <c r="AG86" s="10"/>
      <c r="AH86" s="10"/>
      <c r="AI86" s="10"/>
    </row>
    <row r="87" spans="1:35">
      <c r="A87" s="1" t="s">
        <v>131</v>
      </c>
      <c r="B87" s="1" t="s">
        <v>132</v>
      </c>
      <c r="C87" s="84">
        <v>6.5</v>
      </c>
      <c r="D87" s="27">
        <v>7</v>
      </c>
      <c r="E87" s="27">
        <v>6</v>
      </c>
      <c r="F87" s="27">
        <v>6</v>
      </c>
      <c r="G87" s="5">
        <f t="shared" si="9"/>
        <v>6.375</v>
      </c>
      <c r="H87" s="84">
        <v>6.5</v>
      </c>
      <c r="I87" s="27">
        <v>5.5</v>
      </c>
      <c r="J87" s="27">
        <v>5.5</v>
      </c>
      <c r="K87" s="27">
        <v>5.5</v>
      </c>
      <c r="L87" s="5">
        <f t="shared" si="10"/>
        <v>5.75</v>
      </c>
      <c r="M87" s="84">
        <v>5.5</v>
      </c>
      <c r="N87" s="27">
        <v>5.5</v>
      </c>
      <c r="O87" s="27">
        <v>5.5</v>
      </c>
      <c r="P87" s="27">
        <v>5.5</v>
      </c>
      <c r="Q87" s="5">
        <f t="shared" si="11"/>
        <v>5.5</v>
      </c>
      <c r="R87" s="2">
        <f t="shared" si="12"/>
        <v>5.729166666666667</v>
      </c>
      <c r="T87" s="7">
        <f t="shared" si="13"/>
        <v>3.1544726972427319E-5</v>
      </c>
      <c r="V87" s="40">
        <f>claims!D87</f>
        <v>0</v>
      </c>
      <c r="W87" s="40">
        <f>claims!E87</f>
        <v>0</v>
      </c>
      <c r="X87" s="40">
        <f>claims!F87</f>
        <v>0</v>
      </c>
      <c r="Z87" s="7">
        <f t="shared" si="14"/>
        <v>0</v>
      </c>
      <c r="AA87" s="7">
        <f t="shared" si="15"/>
        <v>0</v>
      </c>
      <c r="AB87" s="7">
        <f t="shared" si="17"/>
        <v>0</v>
      </c>
      <c r="AD87" s="7">
        <f t="shared" si="16"/>
        <v>0</v>
      </c>
      <c r="AF87" s="10"/>
      <c r="AG87" s="10"/>
      <c r="AH87" s="10"/>
      <c r="AI87" s="10"/>
    </row>
    <row r="88" spans="1:35">
      <c r="A88" s="1" t="s">
        <v>133</v>
      </c>
      <c r="B88" s="1" t="s">
        <v>134</v>
      </c>
      <c r="C88" s="84">
        <v>96.4</v>
      </c>
      <c r="D88" s="27">
        <v>96.1</v>
      </c>
      <c r="E88" s="27">
        <v>92</v>
      </c>
      <c r="F88" s="27">
        <v>94.6</v>
      </c>
      <c r="G88" s="5">
        <f t="shared" si="9"/>
        <v>94.775000000000006</v>
      </c>
      <c r="H88" s="84">
        <v>95.6</v>
      </c>
      <c r="I88" s="27">
        <v>95.6</v>
      </c>
      <c r="J88" s="27">
        <v>93.1</v>
      </c>
      <c r="K88" s="27">
        <v>89.6</v>
      </c>
      <c r="L88" s="5">
        <f t="shared" si="10"/>
        <v>93.474999999999994</v>
      </c>
      <c r="M88" s="84">
        <v>88.4</v>
      </c>
      <c r="N88" s="27">
        <v>90.9</v>
      </c>
      <c r="O88" s="27">
        <v>93.5</v>
      </c>
      <c r="P88" s="27">
        <v>98.1</v>
      </c>
      <c r="Q88" s="5">
        <f t="shared" si="11"/>
        <v>92.724999999999994</v>
      </c>
      <c r="R88" s="2">
        <f t="shared" si="12"/>
        <v>93.316666666666663</v>
      </c>
      <c r="T88" s="7">
        <f t="shared" si="13"/>
        <v>5.1380051292689607E-4</v>
      </c>
      <c r="V88" s="40">
        <f>claims!D88</f>
        <v>0</v>
      </c>
      <c r="W88" s="40">
        <f>claims!E88</f>
        <v>3</v>
      </c>
      <c r="X88" s="40">
        <f>claims!F88</f>
        <v>0</v>
      </c>
      <c r="Z88" s="7">
        <f t="shared" si="14"/>
        <v>0</v>
      </c>
      <c r="AA88" s="7">
        <f t="shared" si="15"/>
        <v>0.03</v>
      </c>
      <c r="AB88" s="7">
        <f t="shared" si="17"/>
        <v>0</v>
      </c>
      <c r="AD88" s="7">
        <f t="shared" si="16"/>
        <v>0.01</v>
      </c>
      <c r="AF88" s="10"/>
      <c r="AG88" s="10"/>
      <c r="AH88" s="10"/>
      <c r="AI88" s="10"/>
    </row>
    <row r="89" spans="1:35">
      <c r="A89" s="1" t="s">
        <v>135</v>
      </c>
      <c r="B89" s="1" t="s">
        <v>136</v>
      </c>
      <c r="C89" s="84">
        <v>32803.599999999999</v>
      </c>
      <c r="D89" s="27">
        <v>32183.7</v>
      </c>
      <c r="E89" s="27">
        <v>31843.4</v>
      </c>
      <c r="F89" s="27">
        <v>32332.3</v>
      </c>
      <c r="G89" s="5">
        <f t="shared" si="9"/>
        <v>32290.750000000004</v>
      </c>
      <c r="H89" s="84">
        <v>32538.6</v>
      </c>
      <c r="I89" s="27">
        <v>33001.300000000003</v>
      </c>
      <c r="J89" s="27">
        <v>34479.800000000003</v>
      </c>
      <c r="K89" s="27">
        <v>35735.199999999997</v>
      </c>
      <c r="L89" s="5">
        <f t="shared" si="10"/>
        <v>33938.724999999999</v>
      </c>
      <c r="M89" s="84">
        <v>36420.699999999997</v>
      </c>
      <c r="N89" s="27">
        <v>37012.699999999997</v>
      </c>
      <c r="O89" s="27">
        <v>37136.400000000001</v>
      </c>
      <c r="P89" s="27">
        <v>37157.4</v>
      </c>
      <c r="Q89" s="5">
        <f t="shared" si="11"/>
        <v>36931.799999999996</v>
      </c>
      <c r="R89" s="2">
        <f t="shared" si="12"/>
        <v>35160.6</v>
      </c>
      <c r="T89" s="7">
        <f t="shared" si="13"/>
        <v>0.19359386656350158</v>
      </c>
      <c r="V89" s="40">
        <f>claims!D89</f>
        <v>1470</v>
      </c>
      <c r="W89" s="40">
        <f>claims!E89</f>
        <v>1634</v>
      </c>
      <c r="X89" s="40">
        <f>claims!F89</f>
        <v>2073</v>
      </c>
      <c r="Z89" s="7">
        <f t="shared" si="14"/>
        <v>4.5523872935747847E-2</v>
      </c>
      <c r="AA89" s="7">
        <f t="shared" si="15"/>
        <v>4.8145591798159776E-2</v>
      </c>
      <c r="AB89" s="7">
        <f t="shared" si="17"/>
        <v>5.613048917193314E-2</v>
      </c>
      <c r="AD89" s="7">
        <f t="shared" si="16"/>
        <v>5.1701087341311132E-2</v>
      </c>
      <c r="AF89" s="10"/>
      <c r="AG89" s="10"/>
      <c r="AH89" s="10"/>
      <c r="AI89" s="10"/>
    </row>
    <row r="90" spans="1:35">
      <c r="A90" s="1" t="s">
        <v>137</v>
      </c>
      <c r="B90" s="1" t="s">
        <v>474</v>
      </c>
      <c r="C90" s="84">
        <v>12316.9</v>
      </c>
      <c r="D90" s="27">
        <v>12330.5</v>
      </c>
      <c r="E90" s="27">
        <v>12219.5</v>
      </c>
      <c r="F90" s="27">
        <v>12199.8</v>
      </c>
      <c r="G90" s="5">
        <f t="shared" si="9"/>
        <v>12266.674999999999</v>
      </c>
      <c r="H90" s="84">
        <v>11876.199999999999</v>
      </c>
      <c r="I90" s="27">
        <v>11831.800000000001</v>
      </c>
      <c r="J90" s="27">
        <v>11943.5</v>
      </c>
      <c r="K90" s="27">
        <v>11901</v>
      </c>
      <c r="L90" s="5">
        <f t="shared" si="10"/>
        <v>11888.125</v>
      </c>
      <c r="M90" s="84">
        <v>11888.5</v>
      </c>
      <c r="N90" s="27">
        <v>11984.7</v>
      </c>
      <c r="O90" s="27">
        <v>11704.199999999999</v>
      </c>
      <c r="P90" s="27">
        <v>11618.3</v>
      </c>
      <c r="Q90" s="5">
        <f t="shared" si="11"/>
        <v>11798.924999999999</v>
      </c>
      <c r="R90" s="2">
        <f t="shared" si="12"/>
        <v>11906.616666666667</v>
      </c>
      <c r="T90" s="7">
        <f t="shared" si="13"/>
        <v>6.5557696916134278E-2</v>
      </c>
      <c r="V90" s="40">
        <f>claims!D90</f>
        <v>232</v>
      </c>
      <c r="W90" s="40">
        <f>claims!E90</f>
        <v>252</v>
      </c>
      <c r="X90" s="40">
        <f>claims!F90</f>
        <v>219</v>
      </c>
      <c r="Z90" s="7">
        <f t="shared" si="14"/>
        <v>1.8913030629734626E-2</v>
      </c>
      <c r="AA90" s="7">
        <f t="shared" si="15"/>
        <v>2.1197623679091532E-2</v>
      </c>
      <c r="AB90" s="7">
        <f t="shared" si="17"/>
        <v>1.8561012973639549E-2</v>
      </c>
      <c r="AD90" s="7">
        <f t="shared" si="16"/>
        <v>1.9498552818139388E-2</v>
      </c>
      <c r="AF90" s="10"/>
      <c r="AG90" s="10"/>
      <c r="AH90" s="10"/>
      <c r="AI90" s="10"/>
    </row>
    <row r="91" spans="1:35">
      <c r="A91" s="1" t="s">
        <v>138</v>
      </c>
      <c r="B91" s="1" t="s">
        <v>139</v>
      </c>
      <c r="C91" s="84">
        <v>19</v>
      </c>
      <c r="D91" s="27">
        <v>19.3</v>
      </c>
      <c r="E91" s="27">
        <v>19</v>
      </c>
      <c r="F91" s="27">
        <v>19.399999999999999</v>
      </c>
      <c r="G91" s="5">
        <f t="shared" si="9"/>
        <v>19.174999999999997</v>
      </c>
      <c r="H91" s="84">
        <v>19</v>
      </c>
      <c r="I91" s="27">
        <v>19.3</v>
      </c>
      <c r="J91" s="27">
        <v>17</v>
      </c>
      <c r="K91" s="27">
        <v>19.399999999999999</v>
      </c>
      <c r="L91" s="5">
        <f t="shared" si="10"/>
        <v>18.674999999999997</v>
      </c>
      <c r="M91" s="84">
        <v>17.5</v>
      </c>
      <c r="N91" s="27">
        <v>16.100000000000001</v>
      </c>
      <c r="O91" s="27">
        <v>17</v>
      </c>
      <c r="P91" s="27">
        <v>18</v>
      </c>
      <c r="Q91" s="5">
        <f t="shared" si="11"/>
        <v>17.149999999999999</v>
      </c>
      <c r="R91" s="2">
        <f t="shared" si="12"/>
        <v>17.995833333333334</v>
      </c>
      <c r="T91" s="7">
        <f t="shared" si="13"/>
        <v>9.9084855122846233E-5</v>
      </c>
      <c r="V91" s="40">
        <f>claims!D91</f>
        <v>0</v>
      </c>
      <c r="W91" s="40">
        <f>claims!E91</f>
        <v>0</v>
      </c>
      <c r="X91" s="40">
        <f>claims!F91</f>
        <v>0</v>
      </c>
      <c r="Z91" s="7">
        <f t="shared" si="14"/>
        <v>0</v>
      </c>
      <c r="AA91" s="7">
        <f t="shared" si="15"/>
        <v>0</v>
      </c>
      <c r="AB91" s="7">
        <f t="shared" si="17"/>
        <v>0</v>
      </c>
      <c r="AD91" s="7">
        <f t="shared" si="16"/>
        <v>0</v>
      </c>
      <c r="AF91" s="10"/>
      <c r="AG91" s="10"/>
      <c r="AH91" s="10"/>
      <c r="AI91" s="10"/>
    </row>
    <row r="92" spans="1:35">
      <c r="A92" s="1" t="s">
        <v>473</v>
      </c>
      <c r="B92" s="1" t="s">
        <v>477</v>
      </c>
      <c r="C92" s="84">
        <v>3304</v>
      </c>
      <c r="D92" s="27">
        <v>3337</v>
      </c>
      <c r="E92" s="27">
        <v>3389</v>
      </c>
      <c r="F92" s="27">
        <v>3459</v>
      </c>
      <c r="G92" s="5">
        <f t="shared" si="9"/>
        <v>3372.25</v>
      </c>
      <c r="H92" s="84">
        <v>3483</v>
      </c>
      <c r="I92" s="27">
        <v>3503</v>
      </c>
      <c r="J92" s="27">
        <v>3573</v>
      </c>
      <c r="K92" s="27">
        <v>3626</v>
      </c>
      <c r="L92" s="5">
        <f t="shared" si="10"/>
        <v>3546.25</v>
      </c>
      <c r="M92" s="84">
        <v>3667</v>
      </c>
      <c r="N92" s="27">
        <v>3725</v>
      </c>
      <c r="O92" s="27">
        <v>3739</v>
      </c>
      <c r="P92" s="27">
        <v>3801</v>
      </c>
      <c r="Q92" s="5">
        <f t="shared" si="11"/>
        <v>3733</v>
      </c>
      <c r="R92" s="2">
        <f t="shared" si="12"/>
        <v>3610.625</v>
      </c>
      <c r="T92" s="7">
        <f t="shared" si="13"/>
        <v>1.9880060478514101E-2</v>
      </c>
      <c r="V92" s="40">
        <f>claims!D92</f>
        <v>26</v>
      </c>
      <c r="W92" s="40">
        <f>claims!E92</f>
        <v>25</v>
      </c>
      <c r="X92" s="40">
        <f>claims!F92</f>
        <v>32</v>
      </c>
      <c r="Z92" s="7">
        <f t="shared" si="14"/>
        <v>7.70998591444881E-3</v>
      </c>
      <c r="AA92" s="7">
        <f t="shared" si="15"/>
        <v>7.0497003877335214E-3</v>
      </c>
      <c r="AB92" s="7">
        <f t="shared" si="17"/>
        <v>8.5721939458880264E-3</v>
      </c>
      <c r="AD92" s="7">
        <f t="shared" si="16"/>
        <v>7.9209947545966549E-3</v>
      </c>
      <c r="AF92" s="10"/>
      <c r="AG92" s="10"/>
      <c r="AH92" s="10"/>
      <c r="AI92" s="10"/>
    </row>
    <row r="93" spans="1:35">
      <c r="A93" s="1" t="s">
        <v>493</v>
      </c>
      <c r="B93" s="1" t="s">
        <v>531</v>
      </c>
      <c r="C93" s="84">
        <v>31.7</v>
      </c>
      <c r="D93" s="27">
        <v>33</v>
      </c>
      <c r="E93" s="27">
        <v>32.799999999999997</v>
      </c>
      <c r="F93" s="27">
        <v>33.299999999999997</v>
      </c>
      <c r="G93" s="5">
        <f t="shared" si="9"/>
        <v>32.700000000000003</v>
      </c>
      <c r="H93" s="84">
        <v>35.5</v>
      </c>
      <c r="I93" s="27">
        <v>37</v>
      </c>
      <c r="J93" s="27">
        <v>38.700000000000003</v>
      </c>
      <c r="K93" s="27">
        <v>39.4</v>
      </c>
      <c r="L93" s="5">
        <f t="shared" si="10"/>
        <v>37.65</v>
      </c>
      <c r="M93" s="84">
        <v>39.200000000000003</v>
      </c>
      <c r="N93" s="27">
        <v>39.1</v>
      </c>
      <c r="O93" s="27">
        <v>40.700000000000003</v>
      </c>
      <c r="P93" s="27">
        <v>41.7</v>
      </c>
      <c r="Q93" s="5">
        <f t="shared" si="11"/>
        <v>40.175000000000004</v>
      </c>
      <c r="R93" s="2">
        <f t="shared" si="12"/>
        <v>38.087499999999999</v>
      </c>
      <c r="T93" s="7">
        <f t="shared" si="13"/>
        <v>2.097093449126968E-4</v>
      </c>
      <c r="V93" s="40">
        <f>claims!D93</f>
        <v>0</v>
      </c>
      <c r="W93" s="40">
        <f>claims!E93</f>
        <v>0</v>
      </c>
      <c r="X93" s="40">
        <f>claims!F93</f>
        <v>0</v>
      </c>
      <c r="Z93" s="7">
        <f t="shared" si="14"/>
        <v>0</v>
      </c>
      <c r="AA93" s="7">
        <f t="shared" si="15"/>
        <v>0</v>
      </c>
      <c r="AB93" s="7">
        <f t="shared" si="17"/>
        <v>0</v>
      </c>
      <c r="AD93" s="7">
        <f t="shared" si="16"/>
        <v>0</v>
      </c>
      <c r="AF93" s="10"/>
      <c r="AG93" s="10"/>
      <c r="AH93" s="10"/>
      <c r="AI93" s="10"/>
    </row>
    <row r="94" spans="1:35">
      <c r="A94" s="1" t="s">
        <v>140</v>
      </c>
      <c r="B94" s="1" t="s">
        <v>141</v>
      </c>
      <c r="C94" s="84">
        <v>611.5</v>
      </c>
      <c r="D94" s="27">
        <v>620.9</v>
      </c>
      <c r="E94" s="27">
        <v>609.9</v>
      </c>
      <c r="F94" s="27">
        <v>601.5</v>
      </c>
      <c r="G94" s="5">
        <f t="shared" si="9"/>
        <v>610.95000000000005</v>
      </c>
      <c r="H94" s="84">
        <v>591.1</v>
      </c>
      <c r="I94" s="27">
        <v>600.1</v>
      </c>
      <c r="J94" s="27">
        <v>615.9</v>
      </c>
      <c r="K94" s="27">
        <v>608.20000000000005</v>
      </c>
      <c r="L94" s="5">
        <f t="shared" si="10"/>
        <v>603.82500000000005</v>
      </c>
      <c r="M94" s="84">
        <v>602.29999999999995</v>
      </c>
      <c r="N94" s="27">
        <v>621.70000000000005</v>
      </c>
      <c r="O94" s="27">
        <v>635.20000000000005</v>
      </c>
      <c r="P94" s="27">
        <v>646.20000000000005</v>
      </c>
      <c r="Q94" s="5">
        <f t="shared" si="11"/>
        <v>626.35</v>
      </c>
      <c r="R94" s="2">
        <f t="shared" si="12"/>
        <v>616.27500000000009</v>
      </c>
      <c r="T94" s="7">
        <f t="shared" si="13"/>
        <v>3.3932031909700618E-3</v>
      </c>
      <c r="V94" s="40">
        <f>claims!D94</f>
        <v>15</v>
      </c>
      <c r="W94" s="40">
        <f>claims!E94</f>
        <v>3</v>
      </c>
      <c r="X94" s="40">
        <f>claims!F94</f>
        <v>17</v>
      </c>
      <c r="Z94" s="7">
        <f t="shared" si="14"/>
        <v>2.4551927326295114E-2</v>
      </c>
      <c r="AA94" s="7">
        <f t="shared" si="15"/>
        <v>4.9683269159110669E-3</v>
      </c>
      <c r="AB94" s="7">
        <f t="shared" si="17"/>
        <v>2.7141374630797476E-2</v>
      </c>
      <c r="AD94" s="7">
        <f t="shared" si="16"/>
        <v>1.9318784175084945E-2</v>
      </c>
      <c r="AF94" s="10"/>
      <c r="AG94" s="10"/>
      <c r="AH94" s="10"/>
      <c r="AI94" s="10"/>
    </row>
    <row r="95" spans="1:35">
      <c r="A95" s="1" t="s">
        <v>142</v>
      </c>
      <c r="B95" s="1" t="s">
        <v>143</v>
      </c>
      <c r="C95" s="84">
        <v>168.5</v>
      </c>
      <c r="D95" s="27">
        <v>165.7</v>
      </c>
      <c r="E95" s="27">
        <v>170.2</v>
      </c>
      <c r="F95" s="27">
        <v>172.4</v>
      </c>
      <c r="G95" s="5">
        <f t="shared" si="9"/>
        <v>169.2</v>
      </c>
      <c r="H95" s="84">
        <v>171</v>
      </c>
      <c r="I95" s="27">
        <v>175</v>
      </c>
      <c r="J95" s="27">
        <v>176.5</v>
      </c>
      <c r="K95" s="27">
        <v>180.7</v>
      </c>
      <c r="L95" s="5">
        <f t="shared" si="10"/>
        <v>175.8</v>
      </c>
      <c r="M95" s="84">
        <v>183</v>
      </c>
      <c r="N95" s="27">
        <v>188</v>
      </c>
      <c r="O95" s="27">
        <v>190</v>
      </c>
      <c r="P95" s="27">
        <v>191.7</v>
      </c>
      <c r="Q95" s="5">
        <f t="shared" si="11"/>
        <v>188.17500000000001</v>
      </c>
      <c r="R95" s="2">
        <f t="shared" si="12"/>
        <v>180.88750000000002</v>
      </c>
      <c r="T95" s="7">
        <f t="shared" si="13"/>
        <v>9.9596453240289977E-4</v>
      </c>
      <c r="V95" s="40">
        <f>claims!D95</f>
        <v>6</v>
      </c>
      <c r="W95" s="40">
        <f>claims!E95</f>
        <v>9</v>
      </c>
      <c r="X95" s="40">
        <f>claims!F95</f>
        <v>7</v>
      </c>
      <c r="Z95" s="7">
        <f t="shared" si="14"/>
        <v>3.5460992907801421E-2</v>
      </c>
      <c r="AA95" s="7">
        <f t="shared" si="15"/>
        <v>5.1194539249146756E-2</v>
      </c>
      <c r="AB95" s="7">
        <f t="shared" si="17"/>
        <v>3.7199415437757406E-2</v>
      </c>
      <c r="AD95" s="7">
        <f t="shared" si="16"/>
        <v>4.1574719619894528E-2</v>
      </c>
      <c r="AF95" s="10"/>
      <c r="AG95" s="10"/>
      <c r="AH95" s="10"/>
      <c r="AI95" s="10"/>
    </row>
    <row r="96" spans="1:35">
      <c r="A96" s="1" t="s">
        <v>144</v>
      </c>
      <c r="B96" s="1" t="s">
        <v>145</v>
      </c>
      <c r="C96" s="84">
        <v>20</v>
      </c>
      <c r="D96" s="27">
        <v>17</v>
      </c>
      <c r="E96" s="27">
        <v>17.7</v>
      </c>
      <c r="F96" s="27">
        <v>16</v>
      </c>
      <c r="G96" s="5">
        <f t="shared" si="9"/>
        <v>17.675000000000001</v>
      </c>
      <c r="H96" s="84">
        <v>21</v>
      </c>
      <c r="I96" s="27">
        <v>17</v>
      </c>
      <c r="J96" s="27">
        <v>18</v>
      </c>
      <c r="K96" s="27">
        <v>18</v>
      </c>
      <c r="L96" s="5">
        <f t="shared" si="10"/>
        <v>18.5</v>
      </c>
      <c r="M96" s="84">
        <v>20.6</v>
      </c>
      <c r="N96" s="27">
        <v>27</v>
      </c>
      <c r="O96" s="27">
        <v>27</v>
      </c>
      <c r="P96" s="27">
        <v>25</v>
      </c>
      <c r="Q96" s="5">
        <f t="shared" si="11"/>
        <v>24.9</v>
      </c>
      <c r="R96" s="2">
        <f t="shared" si="12"/>
        <v>21.5625</v>
      </c>
      <c r="T96" s="7">
        <f t="shared" si="13"/>
        <v>1.1872288151440825E-4</v>
      </c>
      <c r="V96" s="40">
        <f>claims!D96</f>
        <v>0</v>
      </c>
      <c r="W96" s="40">
        <f>claims!E96</f>
        <v>0</v>
      </c>
      <c r="X96" s="40">
        <f>claims!F96</f>
        <v>0</v>
      </c>
      <c r="Z96" s="7">
        <f t="shared" si="14"/>
        <v>0</v>
      </c>
      <c r="AA96" s="7">
        <f t="shared" si="15"/>
        <v>0</v>
      </c>
      <c r="AB96" s="7">
        <f t="shared" si="17"/>
        <v>0</v>
      </c>
      <c r="AD96" s="7">
        <f t="shared" si="16"/>
        <v>0</v>
      </c>
      <c r="AF96" s="10"/>
      <c r="AG96" s="10"/>
      <c r="AH96" s="10"/>
      <c r="AI96" s="10"/>
    </row>
    <row r="97" spans="1:35">
      <c r="A97" s="1" t="s">
        <v>146</v>
      </c>
      <c r="B97" s="1" t="s">
        <v>147</v>
      </c>
      <c r="C97" s="84">
        <v>351.1</v>
      </c>
      <c r="D97" s="27">
        <v>354.3</v>
      </c>
      <c r="E97" s="27">
        <v>363</v>
      </c>
      <c r="F97" s="27">
        <v>371.4</v>
      </c>
      <c r="G97" s="5">
        <f t="shared" si="9"/>
        <v>359.95000000000005</v>
      </c>
      <c r="H97" s="84">
        <v>369.8</v>
      </c>
      <c r="I97" s="27">
        <v>380.1</v>
      </c>
      <c r="J97" s="27">
        <v>390.9</v>
      </c>
      <c r="K97" s="27">
        <v>407.5</v>
      </c>
      <c r="L97" s="5">
        <f t="shared" si="10"/>
        <v>387.07500000000005</v>
      </c>
      <c r="M97" s="84">
        <v>418.4</v>
      </c>
      <c r="N97" s="27">
        <v>427.1</v>
      </c>
      <c r="O97" s="27">
        <v>431.4</v>
      </c>
      <c r="P97" s="27">
        <v>451</v>
      </c>
      <c r="Q97" s="5">
        <f t="shared" si="11"/>
        <v>431.97500000000002</v>
      </c>
      <c r="R97" s="2">
        <f t="shared" si="12"/>
        <v>405.00416666666678</v>
      </c>
      <c r="T97" s="7">
        <f t="shared" si="13"/>
        <v>2.2299483683250244E-3</v>
      </c>
      <c r="V97" s="40">
        <f>claims!D97</f>
        <v>0</v>
      </c>
      <c r="W97" s="40">
        <f>claims!E97</f>
        <v>1</v>
      </c>
      <c r="X97" s="40">
        <f>claims!F97</f>
        <v>1</v>
      </c>
      <c r="Z97" s="7">
        <f t="shared" si="14"/>
        <v>0</v>
      </c>
      <c r="AA97" s="7">
        <f t="shared" si="15"/>
        <v>2.5834786540076208E-3</v>
      </c>
      <c r="AB97" s="7">
        <f t="shared" si="17"/>
        <v>2.3149487817582036E-3</v>
      </c>
      <c r="AD97" s="7">
        <f t="shared" si="16"/>
        <v>2.0186339422149755E-3</v>
      </c>
      <c r="AF97" s="10"/>
      <c r="AG97" s="10"/>
      <c r="AH97" s="10"/>
      <c r="AI97" s="10"/>
    </row>
    <row r="98" spans="1:35">
      <c r="A98" s="1" t="s">
        <v>148</v>
      </c>
      <c r="B98" s="1" t="s">
        <v>468</v>
      </c>
      <c r="C98" s="84">
        <v>2580.1</v>
      </c>
      <c r="D98" s="27">
        <v>2620</v>
      </c>
      <c r="E98" s="27">
        <v>2629</v>
      </c>
      <c r="F98" s="27">
        <v>2606</v>
      </c>
      <c r="G98" s="5">
        <f t="shared" si="9"/>
        <v>2608.7750000000001</v>
      </c>
      <c r="H98" s="84">
        <v>2597.9</v>
      </c>
      <c r="I98" s="27">
        <v>2616.5</v>
      </c>
      <c r="J98" s="27">
        <v>2664.1000000000004</v>
      </c>
      <c r="K98" s="27">
        <v>2707.6</v>
      </c>
      <c r="L98" s="5">
        <f t="shared" si="10"/>
        <v>2646.5250000000001</v>
      </c>
      <c r="M98" s="84">
        <v>2767</v>
      </c>
      <c r="N98" s="27">
        <v>2829.3</v>
      </c>
      <c r="O98" s="27">
        <v>2881.8</v>
      </c>
      <c r="P98" s="27">
        <v>2927.7</v>
      </c>
      <c r="Q98" s="5">
        <f t="shared" si="11"/>
        <v>2851.45</v>
      </c>
      <c r="R98" s="2">
        <f t="shared" si="12"/>
        <v>2742.6958333333332</v>
      </c>
      <c r="T98" s="7">
        <f t="shared" si="13"/>
        <v>1.5101252287577718E-2</v>
      </c>
      <c r="V98" s="40">
        <f>claims!D98</f>
        <v>5</v>
      </c>
      <c r="W98" s="40">
        <f>claims!E98</f>
        <v>7</v>
      </c>
      <c r="X98" s="40">
        <f>claims!F98</f>
        <v>19</v>
      </c>
      <c r="Z98" s="7">
        <f t="shared" si="14"/>
        <v>1.9166083698287509E-3</v>
      </c>
      <c r="AA98" s="7">
        <f t="shared" si="15"/>
        <v>2.6449778483105201E-3</v>
      </c>
      <c r="AB98" s="7">
        <f t="shared" si="17"/>
        <v>6.6632765785828267E-3</v>
      </c>
      <c r="AD98" s="7">
        <f t="shared" si="16"/>
        <v>4.5327323003663787E-3</v>
      </c>
      <c r="AF98" s="10"/>
      <c r="AG98" s="10"/>
      <c r="AH98" s="10"/>
      <c r="AI98" s="10"/>
    </row>
    <row r="99" spans="1:35">
      <c r="A99" s="1" t="s">
        <v>149</v>
      </c>
      <c r="B99" s="1" t="s">
        <v>522</v>
      </c>
      <c r="C99" s="84">
        <v>67.2</v>
      </c>
      <c r="D99" s="27">
        <v>67.3</v>
      </c>
      <c r="E99" s="27">
        <v>68</v>
      </c>
      <c r="F99" s="27">
        <v>68.2</v>
      </c>
      <c r="G99" s="5">
        <f t="shared" si="9"/>
        <v>67.674999999999997</v>
      </c>
      <c r="H99" s="84">
        <v>66.3</v>
      </c>
      <c r="I99" s="27">
        <v>68.8</v>
      </c>
      <c r="J99" s="27">
        <v>71.8</v>
      </c>
      <c r="K99" s="27">
        <v>70.8</v>
      </c>
      <c r="L99" s="5">
        <f t="shared" si="10"/>
        <v>69.424999999999997</v>
      </c>
      <c r="M99" s="84">
        <v>71.400000000000006</v>
      </c>
      <c r="N99" s="27">
        <v>73.5</v>
      </c>
      <c r="O99" s="27">
        <v>72.8</v>
      </c>
      <c r="P99" s="27">
        <v>77.599999999999994</v>
      </c>
      <c r="Q99" s="5">
        <f t="shared" si="11"/>
        <v>73.824999999999989</v>
      </c>
      <c r="R99" s="2">
        <f t="shared" si="12"/>
        <v>71.333333333333329</v>
      </c>
      <c r="T99" s="7">
        <f t="shared" si="13"/>
        <v>3.9276052783124044E-4</v>
      </c>
      <c r="V99" s="40">
        <f>claims!D99</f>
        <v>0</v>
      </c>
      <c r="W99" s="40">
        <f>claims!E99</f>
        <v>0</v>
      </c>
      <c r="X99" s="40">
        <f>claims!F99</f>
        <v>0</v>
      </c>
      <c r="Z99" s="7">
        <f t="shared" si="14"/>
        <v>0</v>
      </c>
      <c r="AA99" s="7">
        <f t="shared" si="15"/>
        <v>0</v>
      </c>
      <c r="AB99" s="7">
        <f t="shared" si="17"/>
        <v>0</v>
      </c>
      <c r="AD99" s="7">
        <f t="shared" si="16"/>
        <v>0</v>
      </c>
      <c r="AF99" s="10"/>
      <c r="AG99" s="10"/>
      <c r="AH99" s="10"/>
      <c r="AI99" s="10"/>
    </row>
    <row r="100" spans="1:35">
      <c r="A100" s="1" t="s">
        <v>496</v>
      </c>
      <c r="B100" s="1" t="s">
        <v>497</v>
      </c>
      <c r="C100" s="84">
        <v>722.9</v>
      </c>
      <c r="D100" s="27">
        <v>727.2</v>
      </c>
      <c r="E100" s="27">
        <v>720.6</v>
      </c>
      <c r="F100" s="27">
        <v>723.3</v>
      </c>
      <c r="G100" s="5">
        <f t="shared" si="9"/>
        <v>723.5</v>
      </c>
      <c r="H100" s="84">
        <v>719.2</v>
      </c>
      <c r="I100" s="27">
        <v>719.6</v>
      </c>
      <c r="J100" s="27">
        <v>725.9</v>
      </c>
      <c r="K100" s="27">
        <v>747.4</v>
      </c>
      <c r="L100" s="5">
        <f t="shared" si="10"/>
        <v>728.02500000000009</v>
      </c>
      <c r="M100" s="84">
        <v>746.7</v>
      </c>
      <c r="N100" s="27">
        <v>761.5</v>
      </c>
      <c r="O100" s="27">
        <v>785</v>
      </c>
      <c r="P100" s="27">
        <v>812.6</v>
      </c>
      <c r="Q100" s="5">
        <f t="shared" si="11"/>
        <v>776.44999999999993</v>
      </c>
      <c r="R100" s="2">
        <f t="shared" si="12"/>
        <v>751.48333333333323</v>
      </c>
      <c r="T100" s="7">
        <f t="shared" si="13"/>
        <v>4.1376587475193457E-3</v>
      </c>
      <c r="V100" s="40">
        <f>claims!D100</f>
        <v>5</v>
      </c>
      <c r="W100" s="40">
        <f>claims!E100</f>
        <v>5</v>
      </c>
      <c r="X100" s="40">
        <f>claims!F100</f>
        <v>1</v>
      </c>
      <c r="Z100" s="7">
        <f t="shared" si="14"/>
        <v>6.9108500345542506E-3</v>
      </c>
      <c r="AA100" s="7">
        <f t="shared" si="15"/>
        <v>6.8678960200542552E-3</v>
      </c>
      <c r="AB100" s="7">
        <f t="shared" si="17"/>
        <v>1.2879129370854531E-3</v>
      </c>
      <c r="AD100" s="7">
        <f t="shared" si="16"/>
        <v>4.0850634809865205E-3</v>
      </c>
      <c r="AF100" s="10"/>
      <c r="AG100" s="10"/>
      <c r="AH100" s="10"/>
      <c r="AI100" s="10"/>
    </row>
    <row r="101" spans="1:35">
      <c r="A101" s="1" t="s">
        <v>536</v>
      </c>
      <c r="B101" s="1" t="s">
        <v>537</v>
      </c>
      <c r="C101" s="84">
        <v>1710.6</v>
      </c>
      <c r="D101" s="27">
        <v>1662.7</v>
      </c>
      <c r="E101" s="27">
        <v>1750.6</v>
      </c>
      <c r="F101" s="27">
        <v>1779.6</v>
      </c>
      <c r="G101" s="5">
        <f t="shared" si="9"/>
        <v>1725.875</v>
      </c>
      <c r="H101" s="84">
        <v>1895.5</v>
      </c>
      <c r="I101" s="27">
        <v>1960.5</v>
      </c>
      <c r="J101" s="27">
        <v>2018.6</v>
      </c>
      <c r="K101" s="27">
        <v>2087.1</v>
      </c>
      <c r="L101" s="5">
        <f t="shared" si="10"/>
        <v>1990.4250000000002</v>
      </c>
      <c r="M101" s="84">
        <v>2065.6</v>
      </c>
      <c r="N101" s="27">
        <v>1866.9</v>
      </c>
      <c r="O101" s="27">
        <v>2100.6999999999998</v>
      </c>
      <c r="P101" s="27">
        <v>2164.8000000000002</v>
      </c>
      <c r="Q101" s="5">
        <f t="shared" si="11"/>
        <v>2049.5</v>
      </c>
      <c r="R101" s="2">
        <f t="shared" si="12"/>
        <v>1975.8708333333334</v>
      </c>
      <c r="T101" s="7">
        <f t="shared" si="13"/>
        <v>1.0879122496631116E-2</v>
      </c>
      <c r="V101" s="40">
        <f>claims!D101</f>
        <v>220</v>
      </c>
      <c r="W101" s="40">
        <f>claims!E101</f>
        <v>281</v>
      </c>
      <c r="X101" s="40">
        <f>claims!F101</f>
        <v>351</v>
      </c>
      <c r="Z101" s="7">
        <f t="shared" si="14"/>
        <v>0.12747157239081625</v>
      </c>
      <c r="AA101" s="7">
        <f t="shared" si="15"/>
        <v>0.14117587952321739</v>
      </c>
      <c r="AB101" s="7">
        <f t="shared" si="17"/>
        <v>0.1712612832398146</v>
      </c>
      <c r="AD101" s="7">
        <f t="shared" si="16"/>
        <v>0.15393453019278247</v>
      </c>
      <c r="AF101" s="10"/>
      <c r="AG101" s="10"/>
      <c r="AH101" s="10"/>
      <c r="AI101" s="10"/>
    </row>
    <row r="102" spans="1:35">
      <c r="A102" s="1" t="s">
        <v>150</v>
      </c>
      <c r="B102" s="1" t="s">
        <v>151</v>
      </c>
      <c r="C102" s="84">
        <v>29676.1</v>
      </c>
      <c r="D102" s="27">
        <v>28941.4</v>
      </c>
      <c r="E102" s="27">
        <v>28619.200000000001</v>
      </c>
      <c r="F102" s="27">
        <v>29072.3</v>
      </c>
      <c r="G102" s="5">
        <f t="shared" si="9"/>
        <v>29077.25</v>
      </c>
      <c r="H102" s="84">
        <v>29363.4</v>
      </c>
      <c r="I102" s="27">
        <v>29622</v>
      </c>
      <c r="J102" s="27">
        <v>29896.5</v>
      </c>
      <c r="K102" s="27">
        <v>30029.3</v>
      </c>
      <c r="L102" s="5">
        <f t="shared" si="10"/>
        <v>29727.8</v>
      </c>
      <c r="M102" s="84">
        <v>30403.3</v>
      </c>
      <c r="N102" s="27">
        <v>30667.8</v>
      </c>
      <c r="O102" s="27">
        <v>30779.5</v>
      </c>
      <c r="P102" s="27">
        <v>31246.400000000001</v>
      </c>
      <c r="Q102" s="5">
        <f t="shared" si="11"/>
        <v>30774.25</v>
      </c>
      <c r="R102" s="2">
        <f t="shared" si="12"/>
        <v>30142.600000000002</v>
      </c>
      <c r="T102" s="7">
        <f t="shared" si="13"/>
        <v>0.1659648152271862</v>
      </c>
      <c r="V102" s="40">
        <f>claims!D102</f>
        <v>2223</v>
      </c>
      <c r="W102" s="40">
        <f>claims!E102</f>
        <v>1662</v>
      </c>
      <c r="X102" s="40">
        <f>claims!F102</f>
        <v>1717</v>
      </c>
      <c r="Z102" s="7">
        <f t="shared" si="14"/>
        <v>7.6451521378397197E-2</v>
      </c>
      <c r="AA102" s="7">
        <f t="shared" si="15"/>
        <v>5.5907265253399174E-2</v>
      </c>
      <c r="AB102" s="7">
        <f t="shared" si="17"/>
        <v>5.5793398701836763E-2</v>
      </c>
      <c r="AD102" s="7">
        <f t="shared" si="16"/>
        <v>5.9274374665117646E-2</v>
      </c>
      <c r="AF102" s="10"/>
      <c r="AG102" s="10"/>
      <c r="AH102" s="10"/>
      <c r="AI102" s="10"/>
    </row>
    <row r="103" spans="1:35" s="11" customFormat="1">
      <c r="A103" s="11" t="s">
        <v>499</v>
      </c>
      <c r="B103" s="11" t="s">
        <v>498</v>
      </c>
      <c r="C103" s="84"/>
      <c r="D103" s="5"/>
      <c r="E103" s="5"/>
      <c r="F103" s="5">
        <v>875.6</v>
      </c>
      <c r="G103" s="5">
        <f t="shared" si="9"/>
        <v>875.6</v>
      </c>
      <c r="H103" s="84"/>
      <c r="I103" s="5"/>
      <c r="J103" s="5"/>
      <c r="K103" s="5">
        <v>877.5</v>
      </c>
      <c r="L103" s="5">
        <f t="shared" si="10"/>
        <v>877.5</v>
      </c>
      <c r="M103" s="84"/>
      <c r="N103" s="5"/>
      <c r="O103" s="5"/>
      <c r="P103" s="5">
        <v>962.9</v>
      </c>
      <c r="Q103" s="5">
        <f t="shared" si="11"/>
        <v>962.9</v>
      </c>
      <c r="R103" s="2">
        <f t="shared" si="12"/>
        <v>919.88333333333321</v>
      </c>
      <c r="T103" s="7">
        <f t="shared" si="13"/>
        <v>5.0648672459321616E-3</v>
      </c>
      <c r="V103" s="40">
        <f>claims!D103</f>
        <v>9</v>
      </c>
      <c r="W103" s="40">
        <f>claims!E103</f>
        <v>6</v>
      </c>
      <c r="X103" s="40">
        <f>claims!F103</f>
        <v>1</v>
      </c>
      <c r="Z103" s="7">
        <f t="shared" si="14"/>
        <v>1.027866605756053E-2</v>
      </c>
      <c r="AA103" s="7">
        <f t="shared" si="15"/>
        <v>6.8376068376068376E-3</v>
      </c>
      <c r="AB103" s="7">
        <f t="shared" si="17"/>
        <v>1.0385294423096896E-3</v>
      </c>
      <c r="AD103" s="7">
        <f t="shared" si="16"/>
        <v>4.5115780099505461E-3</v>
      </c>
      <c r="AF103" s="10"/>
      <c r="AG103" s="10"/>
      <c r="AH103" s="10"/>
      <c r="AI103" s="10"/>
    </row>
    <row r="104" spans="1:35">
      <c r="A104" s="1" t="s">
        <v>152</v>
      </c>
      <c r="B104" s="1" t="s">
        <v>153</v>
      </c>
      <c r="C104" s="84">
        <v>1035.8</v>
      </c>
      <c r="D104" s="27">
        <v>1062</v>
      </c>
      <c r="E104" s="27">
        <v>1087.5</v>
      </c>
      <c r="F104" s="27">
        <v>1115.2</v>
      </c>
      <c r="G104" s="5">
        <f t="shared" si="9"/>
        <v>1075.125</v>
      </c>
      <c r="H104" s="84">
        <v>1136.4000000000001</v>
      </c>
      <c r="I104" s="27">
        <v>1105.7</v>
      </c>
      <c r="J104" s="27">
        <v>1102.9000000000001</v>
      </c>
      <c r="K104" s="27">
        <v>1138.0999999999999</v>
      </c>
      <c r="L104" s="5">
        <f t="shared" si="10"/>
        <v>1120.7750000000001</v>
      </c>
      <c r="M104" s="84">
        <v>1163.0999999999999</v>
      </c>
      <c r="N104" s="27">
        <v>1183.0999999999999</v>
      </c>
      <c r="O104" s="27">
        <v>1210.5999999999999</v>
      </c>
      <c r="P104" s="27">
        <v>1230.5</v>
      </c>
      <c r="Q104" s="5">
        <f t="shared" si="11"/>
        <v>1196.8249999999998</v>
      </c>
      <c r="R104" s="2">
        <f t="shared" si="12"/>
        <v>1151.1916666666666</v>
      </c>
      <c r="T104" s="7">
        <f t="shared" si="13"/>
        <v>6.3384483173120386E-3</v>
      </c>
      <c r="V104" s="40">
        <f>claims!D104</f>
        <v>0</v>
      </c>
      <c r="W104" s="40">
        <f>claims!E104</f>
        <v>3</v>
      </c>
      <c r="X104" s="40">
        <f>claims!F104</f>
        <v>1</v>
      </c>
      <c r="Z104" s="7">
        <f t="shared" si="14"/>
        <v>0</v>
      </c>
      <c r="AA104" s="7">
        <f t="shared" si="15"/>
        <v>2.6767192344582988E-3</v>
      </c>
      <c r="AB104" s="7">
        <f t="shared" si="17"/>
        <v>8.3554404361539918E-4</v>
      </c>
      <c r="AD104" s="7">
        <f t="shared" si="16"/>
        <v>1.3100117666271325E-3</v>
      </c>
      <c r="AF104" s="10"/>
      <c r="AG104" s="10"/>
      <c r="AH104" s="10"/>
      <c r="AI104" s="10"/>
    </row>
    <row r="105" spans="1:35">
      <c r="A105" s="1" t="s">
        <v>565</v>
      </c>
      <c r="B105" s="1" t="s">
        <v>566</v>
      </c>
      <c r="C105" s="84">
        <v>0</v>
      </c>
      <c r="D105" s="27">
        <v>0</v>
      </c>
      <c r="E105" s="27">
        <v>0</v>
      </c>
      <c r="F105" s="27">
        <v>0</v>
      </c>
      <c r="G105" s="5">
        <f>AVERAGE(C105:F105)</f>
        <v>0</v>
      </c>
      <c r="H105" s="84"/>
      <c r="I105" s="27">
        <v>84.8</v>
      </c>
      <c r="J105" s="27">
        <v>87.9</v>
      </c>
      <c r="K105" s="27">
        <v>94.6</v>
      </c>
      <c r="L105" s="5">
        <f t="shared" si="10"/>
        <v>89.09999999999998</v>
      </c>
      <c r="M105" s="84">
        <v>92.6</v>
      </c>
      <c r="N105" s="27">
        <v>94.2</v>
      </c>
      <c r="O105" s="27">
        <v>90.9</v>
      </c>
      <c r="P105" s="27">
        <v>93.8</v>
      </c>
      <c r="Q105" s="5">
        <f>AVERAGE(M105:P105)</f>
        <v>92.875000000000014</v>
      </c>
      <c r="R105" s="2">
        <f t="shared" si="12"/>
        <v>91.365000000000009</v>
      </c>
      <c r="T105" s="7">
        <f t="shared" si="13"/>
        <v>5.0305465829861621E-4</v>
      </c>
      <c r="V105" s="40">
        <f>claims!D105</f>
        <v>0</v>
      </c>
      <c r="W105" s="40">
        <f>claims!E105</f>
        <v>0</v>
      </c>
      <c r="X105" s="40">
        <f>claims!F105</f>
        <v>0</v>
      </c>
      <c r="Z105" s="7">
        <f t="shared" si="14"/>
        <v>0</v>
      </c>
      <c r="AA105" s="7">
        <f t="shared" si="15"/>
        <v>0</v>
      </c>
      <c r="AB105" s="7">
        <f t="shared" si="17"/>
        <v>0</v>
      </c>
      <c r="AD105" s="7">
        <f t="shared" si="16"/>
        <v>0</v>
      </c>
      <c r="AF105" s="10"/>
      <c r="AG105" s="10"/>
      <c r="AH105" s="10"/>
      <c r="AI105" s="10"/>
    </row>
    <row r="106" spans="1:35">
      <c r="A106" s="1" t="s">
        <v>154</v>
      </c>
      <c r="B106" s="1" t="s">
        <v>155</v>
      </c>
      <c r="C106" s="84">
        <v>1411.5</v>
      </c>
      <c r="D106" s="27">
        <v>1322.2</v>
      </c>
      <c r="E106" s="27">
        <v>1206.0999999999999</v>
      </c>
      <c r="F106" s="27">
        <v>1122.9000000000001</v>
      </c>
      <c r="G106" s="5">
        <f t="shared" si="9"/>
        <v>1265.675</v>
      </c>
      <c r="H106" s="84">
        <v>1102.7</v>
      </c>
      <c r="I106" s="27">
        <v>1197.9000000000001</v>
      </c>
      <c r="J106" s="27">
        <v>1165.5</v>
      </c>
      <c r="K106" s="27">
        <v>799</v>
      </c>
      <c r="L106" s="5">
        <f t="shared" si="10"/>
        <v>1066.2750000000001</v>
      </c>
      <c r="M106" s="84">
        <v>1146.5999999999999</v>
      </c>
      <c r="N106" s="27">
        <v>1138.0999999999999</v>
      </c>
      <c r="O106" s="27">
        <v>1168</v>
      </c>
      <c r="P106" s="27">
        <v>830.6</v>
      </c>
      <c r="Q106" s="5">
        <f t="shared" si="11"/>
        <v>1070.825</v>
      </c>
      <c r="R106" s="2">
        <f t="shared" si="12"/>
        <v>1101.7833333333335</v>
      </c>
      <c r="T106" s="7">
        <f t="shared" si="13"/>
        <v>6.0664065919018269E-3</v>
      </c>
      <c r="V106" s="40">
        <f>claims!D106</f>
        <v>17</v>
      </c>
      <c r="W106" s="40">
        <f>claims!E106</f>
        <v>16</v>
      </c>
      <c r="X106" s="40">
        <f>claims!F106</f>
        <v>8</v>
      </c>
      <c r="Z106" s="7">
        <f t="shared" si="14"/>
        <v>1.343156813557983E-2</v>
      </c>
      <c r="AA106" s="7">
        <f t="shared" si="15"/>
        <v>1.5005509835642774E-2</v>
      </c>
      <c r="AB106" s="7">
        <f t="shared" si="17"/>
        <v>7.4708752597296476E-3</v>
      </c>
      <c r="AD106" s="7">
        <f t="shared" si="16"/>
        <v>1.0975868931009053E-2</v>
      </c>
      <c r="AF106" s="10"/>
      <c r="AG106" s="10"/>
      <c r="AH106" s="10"/>
      <c r="AI106" s="10"/>
    </row>
    <row r="107" spans="1:35">
      <c r="A107" s="1" t="s">
        <v>156</v>
      </c>
      <c r="B107" s="1" t="s">
        <v>157</v>
      </c>
      <c r="C107" s="84">
        <f>42.8+52+82.7+436.5+207.1+621.9+86.4</f>
        <v>1529.4</v>
      </c>
      <c r="D107" s="27">
        <f>41+52.1+78.9+441.9+205+613+84.4</f>
        <v>1516.3000000000002</v>
      </c>
      <c r="E107" s="27">
        <f>39.2+54+80+444+201+615+83</f>
        <v>1516.2</v>
      </c>
      <c r="F107" s="27">
        <v>1529.9</v>
      </c>
      <c r="G107" s="5">
        <f t="shared" si="9"/>
        <v>1522.9500000000003</v>
      </c>
      <c r="H107" s="84">
        <f>42.2+61.7+85.3+485.5+222.1+658+92.5</f>
        <v>1647.3000000000002</v>
      </c>
      <c r="I107" s="27">
        <f>43.7+62.9+89.4+497.3+218.2+660+93.1</f>
        <v>1664.6</v>
      </c>
      <c r="J107" s="27">
        <f>46.6+67+91.3+507.8+216.2+682.7+95.2</f>
        <v>1706.8000000000002</v>
      </c>
      <c r="K107" s="27">
        <f>48.4+68.1+92.2+506+214.9+686.6+97.2</f>
        <v>1713.4</v>
      </c>
      <c r="L107" s="5">
        <f t="shared" si="10"/>
        <v>1683.0250000000001</v>
      </c>
      <c r="M107" s="84">
        <f>48+67.8+92.3+516.3+220+694.4+104.3</f>
        <v>1743.1</v>
      </c>
      <c r="N107" s="27">
        <f>46.9+67.2+94.4+521.2+218.4+710.1+103.1</f>
        <v>1761.3</v>
      </c>
      <c r="O107" s="27">
        <f>47.1+68.4+96.1+523.3+232+723.5+100.2</f>
        <v>1790.6000000000001</v>
      </c>
      <c r="P107" s="27">
        <f>46.5+71.2+101.6+557.5+244.5+758.5+102</f>
        <v>1881.8</v>
      </c>
      <c r="Q107" s="5">
        <f t="shared" si="11"/>
        <v>1794.2</v>
      </c>
      <c r="R107" s="2">
        <f t="shared" si="12"/>
        <v>1711.9333333333334</v>
      </c>
      <c r="T107" s="7">
        <f t="shared" si="13"/>
        <v>9.4258856020359109E-3</v>
      </c>
      <c r="V107" s="40">
        <f>claims!D107</f>
        <v>19</v>
      </c>
      <c r="W107" s="40">
        <f>claims!E107</f>
        <v>23</v>
      </c>
      <c r="X107" s="40">
        <f>claims!F107</f>
        <v>19</v>
      </c>
      <c r="Z107" s="7">
        <f t="shared" si="14"/>
        <v>1.2475787123674446E-2</v>
      </c>
      <c r="AA107" s="7">
        <f t="shared" si="15"/>
        <v>1.3665869490946361E-2</v>
      </c>
      <c r="AB107" s="7">
        <f t="shared" si="17"/>
        <v>1.0589677850852748E-2</v>
      </c>
      <c r="AD107" s="7">
        <f t="shared" si="16"/>
        <v>1.1929426609687569E-2</v>
      </c>
      <c r="AF107" s="10"/>
      <c r="AG107" s="10"/>
      <c r="AH107" s="10"/>
      <c r="AI107" s="10"/>
    </row>
    <row r="108" spans="1:35">
      <c r="A108" s="1" t="s">
        <v>158</v>
      </c>
      <c r="B108" s="1" t="s">
        <v>159</v>
      </c>
      <c r="C108" s="84">
        <v>6885.3</v>
      </c>
      <c r="D108" s="27">
        <v>6714.1</v>
      </c>
      <c r="E108" s="27">
        <v>6790.7</v>
      </c>
      <c r="F108" s="27">
        <v>5340.6</v>
      </c>
      <c r="G108" s="5">
        <f t="shared" si="9"/>
        <v>6432.6750000000011</v>
      </c>
      <c r="H108" s="84">
        <v>7030.3</v>
      </c>
      <c r="I108" s="27">
        <v>6858</v>
      </c>
      <c r="J108" s="27">
        <v>6978.7</v>
      </c>
      <c r="K108" s="27">
        <v>5550.5999999999995</v>
      </c>
      <c r="L108" s="5">
        <f t="shared" si="10"/>
        <v>6604.4</v>
      </c>
      <c r="M108" s="84">
        <v>7364.0999999999995</v>
      </c>
      <c r="N108" s="27">
        <v>7183.4</v>
      </c>
      <c r="O108" s="27">
        <v>7268.1</v>
      </c>
      <c r="P108" s="27">
        <v>5747.2999999999993</v>
      </c>
      <c r="Q108" s="5">
        <f t="shared" si="11"/>
        <v>6890.7249999999995</v>
      </c>
      <c r="R108" s="2">
        <f t="shared" si="12"/>
        <v>6718.9416666666657</v>
      </c>
      <c r="T108" s="7">
        <f t="shared" si="13"/>
        <v>3.6994416945803472E-2</v>
      </c>
      <c r="V108" s="40">
        <f>claims!D108</f>
        <v>66</v>
      </c>
      <c r="W108" s="40">
        <f>claims!E108</f>
        <v>74</v>
      </c>
      <c r="X108" s="40">
        <f>claims!F108</f>
        <v>80</v>
      </c>
      <c r="Z108" s="7">
        <f t="shared" si="14"/>
        <v>1.0260117291795403E-2</v>
      </c>
      <c r="AA108" s="7">
        <f t="shared" si="15"/>
        <v>1.1204651444491552E-2</v>
      </c>
      <c r="AB108" s="7">
        <f t="shared" si="17"/>
        <v>1.1609808837241366E-2</v>
      </c>
      <c r="AD108" s="7">
        <f t="shared" si="16"/>
        <v>1.1249807782083768E-2</v>
      </c>
      <c r="AF108" s="10"/>
      <c r="AG108" s="10"/>
      <c r="AH108" s="10"/>
      <c r="AI108" s="10"/>
    </row>
    <row r="109" spans="1:35">
      <c r="A109" s="1" t="s">
        <v>160</v>
      </c>
      <c r="B109" s="1" t="s">
        <v>161</v>
      </c>
      <c r="C109" s="84">
        <v>1901.5</v>
      </c>
      <c r="D109" s="27">
        <v>1997.7</v>
      </c>
      <c r="E109" s="27">
        <v>1888.8</v>
      </c>
      <c r="F109" s="27">
        <v>1452.2</v>
      </c>
      <c r="G109" s="5">
        <f t="shared" si="9"/>
        <v>1810.05</v>
      </c>
      <c r="H109" s="84">
        <v>1938.5</v>
      </c>
      <c r="I109" s="27">
        <v>2072.8999999999996</v>
      </c>
      <c r="J109" s="27">
        <v>1977</v>
      </c>
      <c r="K109" s="27">
        <v>1549.3</v>
      </c>
      <c r="L109" s="5">
        <f t="shared" si="10"/>
        <v>1884.425</v>
      </c>
      <c r="M109" s="84">
        <v>1887.1</v>
      </c>
      <c r="N109" s="27">
        <v>1977.6000000000001</v>
      </c>
      <c r="O109" s="27">
        <v>1925.5</v>
      </c>
      <c r="P109" s="27">
        <v>1509.3000000000002</v>
      </c>
      <c r="Q109" s="5">
        <f t="shared" si="11"/>
        <v>1824.875</v>
      </c>
      <c r="R109" s="2">
        <f t="shared" si="12"/>
        <v>1842.2541666666666</v>
      </c>
      <c r="T109" s="7">
        <f t="shared" si="13"/>
        <v>1.0143430638775262E-2</v>
      </c>
      <c r="V109" s="40">
        <f>claims!D109</f>
        <v>29</v>
      </c>
      <c r="W109" s="40">
        <f>claims!E109</f>
        <v>32</v>
      </c>
      <c r="X109" s="40">
        <f>claims!F109</f>
        <v>30</v>
      </c>
      <c r="Z109" s="7">
        <f t="shared" si="14"/>
        <v>1.6021656860307727E-2</v>
      </c>
      <c r="AA109" s="7">
        <f t="shared" si="15"/>
        <v>1.6981307295328815E-2</v>
      </c>
      <c r="AB109" s="7">
        <f t="shared" si="17"/>
        <v>1.6439482156312076E-2</v>
      </c>
      <c r="AD109" s="7">
        <f t="shared" si="16"/>
        <v>1.6550452986650265E-2</v>
      </c>
      <c r="AF109" s="10"/>
      <c r="AG109" s="10"/>
      <c r="AH109" s="10"/>
      <c r="AI109" s="10"/>
    </row>
    <row r="110" spans="1:35">
      <c r="A110" s="1" t="s">
        <v>162</v>
      </c>
      <c r="B110" s="1" t="s">
        <v>163</v>
      </c>
      <c r="C110" s="84">
        <f>7142.4+248.2</f>
        <v>7390.5999999999995</v>
      </c>
      <c r="D110" s="27">
        <f>6851.7+242.2</f>
        <v>7093.9</v>
      </c>
      <c r="E110" s="27">
        <f>7109.9+247</f>
        <v>7356.9</v>
      </c>
      <c r="F110" s="27">
        <f>5596.6+233</f>
        <v>5829.6</v>
      </c>
      <c r="G110" s="5">
        <f t="shared" si="9"/>
        <v>6917.75</v>
      </c>
      <c r="H110" s="84">
        <f>7538.5+240.5</f>
        <v>7779</v>
      </c>
      <c r="I110" s="27">
        <f>7247.4+243.4</f>
        <v>7490.7999999999993</v>
      </c>
      <c r="J110" s="27">
        <f>7490+248.8</f>
        <v>7738.8</v>
      </c>
      <c r="K110" s="27">
        <f>5954.8+250.2</f>
        <v>6205</v>
      </c>
      <c r="L110" s="5">
        <f t="shared" si="10"/>
        <v>7303.4</v>
      </c>
      <c r="M110" s="84">
        <f>7972.4+252.2</f>
        <v>8224.6</v>
      </c>
      <c r="N110" s="27">
        <f>7635.1+255.3</f>
        <v>7890.4000000000005</v>
      </c>
      <c r="O110" s="27">
        <f>7805.7+254.4</f>
        <v>8060.0999999999995</v>
      </c>
      <c r="P110" s="27">
        <f>6253.4+251.2</f>
        <v>6504.5999999999995</v>
      </c>
      <c r="Q110" s="5">
        <f t="shared" si="11"/>
        <v>7669.9249999999993</v>
      </c>
      <c r="R110" s="2">
        <f t="shared" si="12"/>
        <v>7422.3874999999998</v>
      </c>
      <c r="T110" s="7">
        <f t="shared" si="13"/>
        <v>4.0867581760766374E-2</v>
      </c>
      <c r="V110" s="40">
        <f>claims!D110</f>
        <v>101</v>
      </c>
      <c r="W110" s="40">
        <f>claims!E110</f>
        <v>105</v>
      </c>
      <c r="X110" s="40">
        <f>claims!F110</f>
        <v>110</v>
      </c>
      <c r="Z110" s="7">
        <f t="shared" si="14"/>
        <v>1.4600122872321203E-2</v>
      </c>
      <c r="AA110" s="7">
        <f t="shared" si="15"/>
        <v>1.4376865569460801E-2</v>
      </c>
      <c r="AB110" s="7">
        <f t="shared" si="17"/>
        <v>1.4341730851344702E-2</v>
      </c>
      <c r="AD110" s="7">
        <f t="shared" si="16"/>
        <v>1.4396507760879486E-2</v>
      </c>
      <c r="AF110" s="10"/>
      <c r="AG110" s="10"/>
      <c r="AH110" s="10"/>
      <c r="AI110" s="10"/>
    </row>
    <row r="111" spans="1:35">
      <c r="A111" s="1" t="s">
        <v>164</v>
      </c>
      <c r="B111" s="1" t="s">
        <v>165</v>
      </c>
      <c r="C111" s="84">
        <v>1359.6</v>
      </c>
      <c r="D111" s="27">
        <v>1373.6</v>
      </c>
      <c r="E111" s="27">
        <v>1421.2</v>
      </c>
      <c r="F111" s="27">
        <v>1090</v>
      </c>
      <c r="G111" s="5">
        <f t="shared" si="9"/>
        <v>1311.1</v>
      </c>
      <c r="H111" s="84">
        <v>1455.6999999999998</v>
      </c>
      <c r="I111" s="27">
        <v>1380.5</v>
      </c>
      <c r="J111" s="27">
        <v>1511.1</v>
      </c>
      <c r="K111" s="27">
        <v>1149.0999999999999</v>
      </c>
      <c r="L111" s="5">
        <f t="shared" si="10"/>
        <v>1374.1</v>
      </c>
      <c r="M111" s="84">
        <v>1495</v>
      </c>
      <c r="N111" s="27">
        <v>1516.6000000000001</v>
      </c>
      <c r="O111" s="27">
        <v>1508</v>
      </c>
      <c r="P111" s="27">
        <v>1239.2</v>
      </c>
      <c r="Q111" s="5">
        <f t="shared" si="11"/>
        <v>1439.7</v>
      </c>
      <c r="R111" s="2">
        <f t="shared" si="12"/>
        <v>1396.3999999999999</v>
      </c>
      <c r="T111" s="7">
        <f t="shared" si="13"/>
        <v>7.6885626317319275E-3</v>
      </c>
      <c r="V111" s="40">
        <f>claims!D111</f>
        <v>10</v>
      </c>
      <c r="W111" s="40">
        <f>claims!E111</f>
        <v>17</v>
      </c>
      <c r="X111" s="40">
        <f>claims!F111</f>
        <v>17</v>
      </c>
      <c r="Z111" s="7">
        <f t="shared" si="14"/>
        <v>7.6271832812142481E-3</v>
      </c>
      <c r="AA111" s="7">
        <f t="shared" si="15"/>
        <v>1.2371734226038862E-2</v>
      </c>
      <c r="AB111" s="7">
        <f t="shared" si="17"/>
        <v>1.1808015558796972E-2</v>
      </c>
      <c r="AD111" s="7">
        <f t="shared" si="16"/>
        <v>1.1299116401613815E-2</v>
      </c>
      <c r="AF111" s="10"/>
      <c r="AG111" s="10"/>
      <c r="AH111" s="10"/>
      <c r="AI111" s="10"/>
    </row>
    <row r="112" spans="1:35">
      <c r="A112" s="1" t="s">
        <v>166</v>
      </c>
      <c r="B112" s="1" t="s">
        <v>167</v>
      </c>
      <c r="C112" s="84">
        <v>824.3</v>
      </c>
      <c r="D112" s="27">
        <v>786.6</v>
      </c>
      <c r="E112" s="27">
        <v>807.4</v>
      </c>
      <c r="F112" s="27">
        <v>574.4</v>
      </c>
      <c r="G112" s="5">
        <f t="shared" si="9"/>
        <v>748.17500000000007</v>
      </c>
      <c r="H112" s="84">
        <v>819</v>
      </c>
      <c r="I112" s="27">
        <v>767.59999999999991</v>
      </c>
      <c r="J112" s="27">
        <v>819.2</v>
      </c>
      <c r="K112" s="27">
        <v>559.79999999999995</v>
      </c>
      <c r="L112" s="5">
        <f t="shared" si="10"/>
        <v>741.40000000000009</v>
      </c>
      <c r="M112" s="84">
        <v>799.9</v>
      </c>
      <c r="N112" s="27">
        <v>736.2</v>
      </c>
      <c r="O112" s="27">
        <v>760</v>
      </c>
      <c r="P112" s="27">
        <v>498.7</v>
      </c>
      <c r="Q112" s="5">
        <f t="shared" si="11"/>
        <v>698.69999999999993</v>
      </c>
      <c r="R112" s="2">
        <f t="shared" si="12"/>
        <v>721.17916666666679</v>
      </c>
      <c r="T112" s="7">
        <f t="shared" si="13"/>
        <v>3.9708043480499184E-3</v>
      </c>
      <c r="V112" s="40">
        <f>claims!D112</f>
        <v>9</v>
      </c>
      <c r="W112" s="40">
        <f>claims!E112</f>
        <v>12</v>
      </c>
      <c r="X112" s="40">
        <f>claims!F112</f>
        <v>5</v>
      </c>
      <c r="Z112" s="7">
        <f t="shared" si="14"/>
        <v>1.2029271226651518E-2</v>
      </c>
      <c r="AA112" s="7">
        <f t="shared" si="15"/>
        <v>1.6185594820609654E-2</v>
      </c>
      <c r="AB112" s="7">
        <f t="shared" si="17"/>
        <v>7.1561471303850013E-3</v>
      </c>
      <c r="AD112" s="7">
        <f t="shared" si="16"/>
        <v>1.0978150376504306E-2</v>
      </c>
      <c r="AF112" s="10"/>
      <c r="AG112" s="10"/>
      <c r="AH112" s="10"/>
      <c r="AI112" s="10"/>
    </row>
    <row r="113" spans="1:35">
      <c r="A113" s="1" t="s">
        <v>168</v>
      </c>
      <c r="B113" s="1" t="s">
        <v>169</v>
      </c>
      <c r="C113" s="84">
        <v>1096.7</v>
      </c>
      <c r="D113" s="27">
        <v>1040.9000000000001</v>
      </c>
      <c r="E113" s="27">
        <v>1062.5</v>
      </c>
      <c r="F113" s="27">
        <v>670.2</v>
      </c>
      <c r="G113" s="5">
        <f t="shared" si="9"/>
        <v>967.57500000000005</v>
      </c>
      <c r="H113" s="84">
        <v>1107.5</v>
      </c>
      <c r="I113" s="27">
        <v>1063.3</v>
      </c>
      <c r="J113" s="27">
        <v>1082.3000000000002</v>
      </c>
      <c r="K113" s="27">
        <v>694.5</v>
      </c>
      <c r="L113" s="5">
        <f t="shared" si="10"/>
        <v>986.90000000000009</v>
      </c>
      <c r="M113" s="84">
        <v>1114.9000000000001</v>
      </c>
      <c r="N113" s="27">
        <v>1072.3000000000002</v>
      </c>
      <c r="O113" s="27">
        <v>1084.9000000000001</v>
      </c>
      <c r="P113" s="27">
        <v>723.6</v>
      </c>
      <c r="Q113" s="5">
        <f t="shared" si="11"/>
        <v>998.92500000000007</v>
      </c>
      <c r="R113" s="2">
        <f t="shared" si="12"/>
        <v>989.69166666666661</v>
      </c>
      <c r="T113" s="7">
        <f t="shared" si="13"/>
        <v>5.4492311409838328E-3</v>
      </c>
      <c r="V113" s="40">
        <f>claims!D113</f>
        <v>6</v>
      </c>
      <c r="W113" s="40">
        <f>claims!E113</f>
        <v>5</v>
      </c>
      <c r="X113" s="40">
        <f>claims!F113</f>
        <v>2</v>
      </c>
      <c r="Z113" s="7">
        <f t="shared" si="14"/>
        <v>6.2010696845205791E-3</v>
      </c>
      <c r="AA113" s="7">
        <f t="shared" si="15"/>
        <v>5.0663694396595399E-3</v>
      </c>
      <c r="AB113" s="7">
        <f t="shared" si="17"/>
        <v>2.0021523137372676E-3</v>
      </c>
      <c r="AD113" s="7">
        <f t="shared" si="16"/>
        <v>3.7233775841752441E-3</v>
      </c>
      <c r="AF113" s="10"/>
      <c r="AG113" s="10"/>
      <c r="AH113" s="10"/>
      <c r="AI113" s="10"/>
    </row>
    <row r="114" spans="1:35">
      <c r="A114" s="1" t="s">
        <v>170</v>
      </c>
      <c r="B114" s="1" t="s">
        <v>523</v>
      </c>
      <c r="C114" s="84">
        <v>4552.2</v>
      </c>
      <c r="D114" s="27">
        <v>4595.2</v>
      </c>
      <c r="E114" s="27">
        <v>4502.8999999999996</v>
      </c>
      <c r="F114" s="27">
        <v>4553.8</v>
      </c>
      <c r="G114" s="5">
        <f t="shared" si="9"/>
        <v>4551.0249999999996</v>
      </c>
      <c r="H114" s="84">
        <v>4647.3</v>
      </c>
      <c r="I114" s="27">
        <v>4737.7</v>
      </c>
      <c r="J114" s="27">
        <v>4665.7999999999993</v>
      </c>
      <c r="K114" s="27">
        <v>4701</v>
      </c>
      <c r="L114" s="5">
        <f t="shared" si="10"/>
        <v>4687.95</v>
      </c>
      <c r="M114" s="84">
        <v>4801</v>
      </c>
      <c r="N114" s="27">
        <v>4845.7</v>
      </c>
      <c r="O114" s="27">
        <v>4864.2</v>
      </c>
      <c r="P114" s="27">
        <v>4953.2</v>
      </c>
      <c r="Q114" s="5">
        <f t="shared" si="11"/>
        <v>4866.0250000000005</v>
      </c>
      <c r="R114" s="2">
        <f t="shared" si="12"/>
        <v>4754.166666666667</v>
      </c>
      <c r="T114" s="7">
        <f t="shared" si="13"/>
        <v>2.6176387982210596E-2</v>
      </c>
      <c r="V114" s="40">
        <f>claims!D114</f>
        <v>25</v>
      </c>
      <c r="W114" s="40">
        <f>claims!E114</f>
        <v>38</v>
      </c>
      <c r="X114" s="40">
        <f>claims!F114</f>
        <v>35</v>
      </c>
      <c r="Z114" s="7">
        <f t="shared" si="14"/>
        <v>5.4932680000659194E-3</v>
      </c>
      <c r="AA114" s="7">
        <f t="shared" si="15"/>
        <v>8.1058885013705357E-3</v>
      </c>
      <c r="AB114" s="7">
        <f t="shared" si="17"/>
        <v>7.1927291783334436E-3</v>
      </c>
      <c r="AD114" s="7">
        <f t="shared" si="16"/>
        <v>7.2138720896345529E-3</v>
      </c>
      <c r="AF114" s="10"/>
      <c r="AG114" s="10"/>
      <c r="AH114" s="10"/>
      <c r="AI114" s="10"/>
    </row>
    <row r="115" spans="1:35">
      <c r="A115" s="1" t="s">
        <v>171</v>
      </c>
      <c r="B115" s="1" t="s">
        <v>172</v>
      </c>
      <c r="C115" s="84">
        <v>5994.7</v>
      </c>
      <c r="D115" s="27">
        <v>5682.9</v>
      </c>
      <c r="E115" s="27">
        <v>5944.3</v>
      </c>
      <c r="F115" s="27">
        <v>4241.3999999999996</v>
      </c>
      <c r="G115" s="5">
        <f t="shared" si="9"/>
        <v>5465.8249999999989</v>
      </c>
      <c r="H115" s="84">
        <v>6452.5</v>
      </c>
      <c r="I115" s="27">
        <v>6177.9</v>
      </c>
      <c r="J115" s="27">
        <v>6438</v>
      </c>
      <c r="K115" s="27">
        <v>4672</v>
      </c>
      <c r="L115" s="5">
        <f t="shared" si="10"/>
        <v>5935.1</v>
      </c>
      <c r="M115" s="84">
        <v>6850.4</v>
      </c>
      <c r="N115" s="27">
        <v>6583.1</v>
      </c>
      <c r="O115" s="27">
        <v>6665.7000000000007</v>
      </c>
      <c r="P115" s="27">
        <v>4806.5</v>
      </c>
      <c r="Q115" s="5">
        <f t="shared" si="11"/>
        <v>6226.4250000000002</v>
      </c>
      <c r="R115" s="2">
        <f t="shared" si="12"/>
        <v>6002.55</v>
      </c>
      <c r="T115" s="7">
        <f t="shared" si="13"/>
        <v>3.3049972518692697E-2</v>
      </c>
      <c r="V115" s="40">
        <f>claims!D115</f>
        <v>75</v>
      </c>
      <c r="W115" s="40">
        <f>claims!E115</f>
        <v>80</v>
      </c>
      <c r="X115" s="40">
        <f>claims!F115</f>
        <v>61</v>
      </c>
      <c r="Z115" s="7">
        <f t="shared" si="14"/>
        <v>1.3721624823334083E-2</v>
      </c>
      <c r="AA115" s="7">
        <f t="shared" si="15"/>
        <v>1.3479132617816043E-2</v>
      </c>
      <c r="AB115" s="7">
        <f t="shared" si="17"/>
        <v>9.796954110906338E-3</v>
      </c>
      <c r="AD115" s="7">
        <f t="shared" si="16"/>
        <v>1.1678458731947531E-2</v>
      </c>
      <c r="AF115" s="10"/>
      <c r="AG115" s="10"/>
      <c r="AH115" s="10"/>
      <c r="AI115" s="10"/>
    </row>
    <row r="116" spans="1:35">
      <c r="A116" s="1" t="s">
        <v>173</v>
      </c>
      <c r="B116" s="1" t="s">
        <v>174</v>
      </c>
      <c r="C116" s="84">
        <v>3047.4</v>
      </c>
      <c r="D116" s="27">
        <v>2886.6</v>
      </c>
      <c r="E116" s="27">
        <v>3089.6</v>
      </c>
      <c r="F116" s="27">
        <v>2262.4</v>
      </c>
      <c r="G116" s="5">
        <f t="shared" si="9"/>
        <v>2821.5</v>
      </c>
      <c r="H116" s="84">
        <v>3168.1000000000004</v>
      </c>
      <c r="I116" s="27">
        <v>2997.6</v>
      </c>
      <c r="J116" s="27">
        <v>3197.4</v>
      </c>
      <c r="K116" s="27">
        <v>2349.4</v>
      </c>
      <c r="L116" s="5">
        <f t="shared" si="10"/>
        <v>2928.125</v>
      </c>
      <c r="M116" s="84">
        <f>3163.5+107.4</f>
        <v>3270.9</v>
      </c>
      <c r="N116" s="27">
        <f>2985+111.9</f>
        <v>3096.9</v>
      </c>
      <c r="O116" s="27">
        <f>3168.5+113.7</f>
        <v>3282.2</v>
      </c>
      <c r="P116" s="27">
        <f>2233+114.7</f>
        <v>2347.6999999999998</v>
      </c>
      <c r="Q116" s="5">
        <f t="shared" si="11"/>
        <v>2999.4250000000002</v>
      </c>
      <c r="R116" s="2">
        <f t="shared" si="12"/>
        <v>2946.0041666666671</v>
      </c>
      <c r="T116" s="7">
        <f t="shared" si="13"/>
        <v>1.6220665675135987E-2</v>
      </c>
      <c r="V116" s="40">
        <f>claims!D116</f>
        <v>21</v>
      </c>
      <c r="W116" s="40">
        <f>claims!E116</f>
        <v>27</v>
      </c>
      <c r="X116" s="40">
        <f>claims!F116</f>
        <v>16</v>
      </c>
      <c r="Z116" s="7">
        <f t="shared" si="14"/>
        <v>7.4428495481127059E-3</v>
      </c>
      <c r="AA116" s="7">
        <f t="shared" si="15"/>
        <v>9.2209178228388478E-3</v>
      </c>
      <c r="AB116" s="7">
        <f t="shared" si="17"/>
        <v>5.3343557515190404E-3</v>
      </c>
      <c r="AD116" s="7">
        <f t="shared" si="16"/>
        <v>6.9812920747245877E-3</v>
      </c>
      <c r="AF116" s="10"/>
      <c r="AG116" s="10"/>
      <c r="AH116" s="10"/>
      <c r="AI116" s="10"/>
    </row>
    <row r="117" spans="1:35">
      <c r="A117" s="1" t="s">
        <v>175</v>
      </c>
      <c r="B117" s="11" t="s">
        <v>541</v>
      </c>
      <c r="C117" s="84">
        <v>4736.7</v>
      </c>
      <c r="D117" s="27">
        <v>4539.6000000000004</v>
      </c>
      <c r="E117" s="27">
        <v>4672</v>
      </c>
      <c r="F117" s="27">
        <v>3366</v>
      </c>
      <c r="G117" s="5">
        <f t="shared" si="9"/>
        <v>4328.5749999999998</v>
      </c>
      <c r="H117" s="84">
        <v>4925.5</v>
      </c>
      <c r="I117" s="27">
        <v>4697.2000000000007</v>
      </c>
      <c r="J117" s="27">
        <v>4857.6000000000004</v>
      </c>
      <c r="K117" s="27">
        <v>3520.5</v>
      </c>
      <c r="L117" s="5">
        <f t="shared" si="10"/>
        <v>4500.2000000000007</v>
      </c>
      <c r="M117" s="84">
        <v>5193.2</v>
      </c>
      <c r="N117" s="27">
        <v>5033.8999999999996</v>
      </c>
      <c r="O117" s="27">
        <v>5212</v>
      </c>
      <c r="P117" s="27">
        <v>3820.8</v>
      </c>
      <c r="Q117" s="5">
        <f t="shared" si="11"/>
        <v>4814.9749999999995</v>
      </c>
      <c r="R117" s="2">
        <f t="shared" si="12"/>
        <v>4628.9833333333336</v>
      </c>
      <c r="T117" s="7">
        <f t="shared" si="13"/>
        <v>2.5487129962458156E-2</v>
      </c>
      <c r="V117" s="40">
        <f>claims!D117</f>
        <v>44</v>
      </c>
      <c r="W117" s="40">
        <f>claims!E117</f>
        <v>45</v>
      </c>
      <c r="X117" s="40">
        <f>claims!F117</f>
        <v>56</v>
      </c>
      <c r="Z117" s="7">
        <f t="shared" si="14"/>
        <v>1.0165008114679774E-2</v>
      </c>
      <c r="AA117" s="7">
        <f t="shared" si="15"/>
        <v>9.9995555753077617E-3</v>
      </c>
      <c r="AB117" s="7">
        <f t="shared" si="17"/>
        <v>1.1630382296896662E-2</v>
      </c>
      <c r="AD117" s="7">
        <f t="shared" si="16"/>
        <v>1.084254435933088E-2</v>
      </c>
      <c r="AF117" s="10"/>
      <c r="AG117" s="10"/>
      <c r="AH117" s="10"/>
      <c r="AI117" s="10"/>
    </row>
    <row r="118" spans="1:35">
      <c r="A118" s="1" t="s">
        <v>176</v>
      </c>
      <c r="B118" s="1" t="s">
        <v>177</v>
      </c>
      <c r="C118" s="84">
        <f>49.7+363.1</f>
        <v>412.8</v>
      </c>
      <c r="D118" s="27">
        <f>46.1+345.3</f>
        <v>391.40000000000003</v>
      </c>
      <c r="E118" s="27">
        <f>51.5+361.2</f>
        <v>412.7</v>
      </c>
      <c r="F118" s="27">
        <f>48.3+233.3</f>
        <v>281.60000000000002</v>
      </c>
      <c r="G118" s="5">
        <f t="shared" si="9"/>
        <v>374.625</v>
      </c>
      <c r="H118" s="84">
        <f>47.7+353.9</f>
        <v>401.59999999999997</v>
      </c>
      <c r="I118" s="27">
        <f>45+300.4</f>
        <v>345.4</v>
      </c>
      <c r="J118" s="27">
        <f>48+374.4</f>
        <v>422.4</v>
      </c>
      <c r="K118" s="27">
        <f>32.8+292.8</f>
        <v>325.60000000000002</v>
      </c>
      <c r="L118" s="5">
        <f t="shared" si="10"/>
        <v>373.75</v>
      </c>
      <c r="M118" s="84">
        <f>46.1+376</f>
        <v>422.1</v>
      </c>
      <c r="N118" s="27">
        <f>48.5+368.7</f>
        <v>417.2</v>
      </c>
      <c r="O118" s="27">
        <f>52.3+393.8</f>
        <v>446.1</v>
      </c>
      <c r="P118" s="27">
        <f>35.8+305.6</f>
        <v>341.40000000000003</v>
      </c>
      <c r="Q118" s="5">
        <f t="shared" si="11"/>
        <v>406.70000000000005</v>
      </c>
      <c r="R118" s="2">
        <f t="shared" si="12"/>
        <v>390.37083333333339</v>
      </c>
      <c r="T118" s="7">
        <f t="shared" si="13"/>
        <v>2.1493774002325407E-3</v>
      </c>
      <c r="V118" s="40">
        <f>claims!D118</f>
        <v>7</v>
      </c>
      <c r="W118" s="40">
        <f>claims!E118</f>
        <v>6</v>
      </c>
      <c r="X118" s="40">
        <f>claims!F118</f>
        <v>6</v>
      </c>
      <c r="Z118" s="7">
        <f t="shared" si="14"/>
        <v>1.8685352018685351E-2</v>
      </c>
      <c r="AA118" s="7">
        <f t="shared" si="15"/>
        <v>1.6053511705685617E-2</v>
      </c>
      <c r="AB118" s="7">
        <f t="shared" si="17"/>
        <v>1.4752889107450207E-2</v>
      </c>
      <c r="AD118" s="7">
        <f t="shared" si="16"/>
        <v>1.5841840458734536E-2</v>
      </c>
      <c r="AF118" s="10"/>
      <c r="AG118" s="10"/>
      <c r="AH118" s="10"/>
      <c r="AI118" s="10"/>
    </row>
    <row r="119" spans="1:35">
      <c r="A119" s="1" t="s">
        <v>178</v>
      </c>
      <c r="B119" s="1" t="s">
        <v>524</v>
      </c>
      <c r="C119" s="84">
        <v>42.1</v>
      </c>
      <c r="D119" s="27">
        <v>42.1</v>
      </c>
      <c r="E119" s="27">
        <v>43.8</v>
      </c>
      <c r="F119" s="27">
        <v>43.7</v>
      </c>
      <c r="G119" s="5">
        <f t="shared" si="9"/>
        <v>42.924999999999997</v>
      </c>
      <c r="H119" s="84">
        <v>44.5</v>
      </c>
      <c r="I119" s="27">
        <v>45.5</v>
      </c>
      <c r="J119" s="27">
        <v>45.5</v>
      </c>
      <c r="K119" s="27">
        <v>45</v>
      </c>
      <c r="L119" s="5">
        <f t="shared" si="10"/>
        <v>45.125</v>
      </c>
      <c r="M119" s="84">
        <v>44.2</v>
      </c>
      <c r="N119" s="27">
        <v>42.9</v>
      </c>
      <c r="O119" s="27">
        <v>42.4</v>
      </c>
      <c r="P119" s="27">
        <v>43.2</v>
      </c>
      <c r="Q119" s="5">
        <f t="shared" si="11"/>
        <v>43.174999999999997</v>
      </c>
      <c r="R119" s="2">
        <f t="shared" si="12"/>
        <v>43.783333333333331</v>
      </c>
      <c r="T119" s="7">
        <f t="shared" si="13"/>
        <v>2.4107053892819362E-4</v>
      </c>
      <c r="V119" s="40">
        <f>claims!D119</f>
        <v>0</v>
      </c>
      <c r="W119" s="40">
        <f>claims!E119</f>
        <v>0</v>
      </c>
      <c r="X119" s="40">
        <f>claims!F119</f>
        <v>0</v>
      </c>
      <c r="Z119" s="7">
        <f t="shared" si="14"/>
        <v>0</v>
      </c>
      <c r="AA119" s="7">
        <f t="shared" si="15"/>
        <v>0</v>
      </c>
      <c r="AB119" s="7">
        <f t="shared" si="17"/>
        <v>0</v>
      </c>
      <c r="AD119" s="7">
        <f t="shared" si="16"/>
        <v>0</v>
      </c>
      <c r="AF119" s="10"/>
      <c r="AG119" s="10"/>
      <c r="AH119" s="10"/>
      <c r="AI119" s="10"/>
    </row>
    <row r="120" spans="1:35">
      <c r="A120" s="1" t="s">
        <v>179</v>
      </c>
      <c r="B120" s="1" t="s">
        <v>180</v>
      </c>
      <c r="C120" s="84">
        <v>1108.5</v>
      </c>
      <c r="D120" s="27">
        <v>1087.0999999999999</v>
      </c>
      <c r="E120" s="27">
        <v>1120.2</v>
      </c>
      <c r="F120" s="27">
        <v>795.5</v>
      </c>
      <c r="G120" s="5">
        <f t="shared" si="9"/>
        <v>1027.825</v>
      </c>
      <c r="H120" s="84">
        <v>1152.5999999999999</v>
      </c>
      <c r="I120" s="27">
        <v>1145.9000000000001</v>
      </c>
      <c r="J120" s="27">
        <v>1135.9000000000001</v>
      </c>
      <c r="K120" s="27">
        <v>819.6</v>
      </c>
      <c r="L120" s="5">
        <f t="shared" si="10"/>
        <v>1063.5</v>
      </c>
      <c r="M120" s="84">
        <v>1243.5999999999999</v>
      </c>
      <c r="N120" s="27">
        <v>1180.9000000000001</v>
      </c>
      <c r="O120" s="27">
        <v>1208.5</v>
      </c>
      <c r="P120" s="27">
        <v>816.4</v>
      </c>
      <c r="Q120" s="5">
        <f t="shared" si="11"/>
        <v>1112.3499999999999</v>
      </c>
      <c r="R120" s="2">
        <f t="shared" si="12"/>
        <v>1081.9791666666667</v>
      </c>
      <c r="T120" s="7">
        <f t="shared" si="13"/>
        <v>5.9573650738655006E-3</v>
      </c>
      <c r="V120" s="40">
        <f>claims!D120</f>
        <v>15</v>
      </c>
      <c r="W120" s="40">
        <f>claims!E120</f>
        <v>12</v>
      </c>
      <c r="X120" s="40">
        <f>claims!F120</f>
        <v>9</v>
      </c>
      <c r="Z120" s="7">
        <f t="shared" si="14"/>
        <v>1.4593924062948458E-2</v>
      </c>
      <c r="AA120" s="7">
        <f t="shared" si="15"/>
        <v>1.1283497884344146E-2</v>
      </c>
      <c r="AB120" s="7">
        <f t="shared" si="17"/>
        <v>8.0909785589068188E-3</v>
      </c>
      <c r="AD120" s="7">
        <f t="shared" si="16"/>
        <v>1.0238975918059535E-2</v>
      </c>
      <c r="AF120" s="10"/>
      <c r="AG120" s="10"/>
      <c r="AH120" s="10"/>
      <c r="AI120" s="10"/>
    </row>
    <row r="121" spans="1:35">
      <c r="A121" s="1" t="s">
        <v>181</v>
      </c>
      <c r="B121" s="1" t="s">
        <v>182</v>
      </c>
      <c r="C121" s="84">
        <v>1321.1</v>
      </c>
      <c r="D121" s="27">
        <v>1334.7</v>
      </c>
      <c r="E121" s="27">
        <v>1333.2</v>
      </c>
      <c r="F121" s="27">
        <v>1334.8</v>
      </c>
      <c r="G121" s="5">
        <f t="shared" si="9"/>
        <v>1330.95</v>
      </c>
      <c r="H121" s="84">
        <v>1345</v>
      </c>
      <c r="I121" s="27">
        <v>1355</v>
      </c>
      <c r="J121" s="27">
        <v>1357.6999999999998</v>
      </c>
      <c r="K121" s="27">
        <v>1371.2</v>
      </c>
      <c r="L121" s="5">
        <f t="shared" si="10"/>
        <v>1357.2249999999999</v>
      </c>
      <c r="M121" s="84">
        <v>1384.3</v>
      </c>
      <c r="N121" s="27">
        <v>1393</v>
      </c>
      <c r="O121" s="27">
        <v>1391.7</v>
      </c>
      <c r="P121" s="27">
        <v>1404.9</v>
      </c>
      <c r="Q121" s="5">
        <f t="shared" si="11"/>
        <v>1393.4749999999999</v>
      </c>
      <c r="R121" s="2">
        <f t="shared" si="12"/>
        <v>1370.9708333333331</v>
      </c>
      <c r="T121" s="7">
        <f t="shared" si="13"/>
        <v>7.5485499272135818E-3</v>
      </c>
      <c r="V121" s="40">
        <f>claims!D121</f>
        <v>14</v>
      </c>
      <c r="W121" s="40">
        <f>claims!E121</f>
        <v>21</v>
      </c>
      <c r="X121" s="40">
        <f>claims!F121</f>
        <v>21</v>
      </c>
      <c r="Z121" s="7">
        <f t="shared" si="14"/>
        <v>1.0518802359217099E-2</v>
      </c>
      <c r="AA121" s="7">
        <f t="shared" si="15"/>
        <v>1.5472747702112767E-2</v>
      </c>
      <c r="AB121" s="7">
        <f t="shared" si="17"/>
        <v>1.5070238073880049E-2</v>
      </c>
      <c r="AD121" s="7">
        <f t="shared" si="16"/>
        <v>1.4445835330847132E-2</v>
      </c>
      <c r="AF121" s="10"/>
      <c r="AG121" s="10"/>
      <c r="AH121" s="10"/>
      <c r="AI121" s="10"/>
    </row>
    <row r="122" spans="1:35">
      <c r="A122" s="1" t="s">
        <v>469</v>
      </c>
      <c r="B122" s="1" t="s">
        <v>470</v>
      </c>
      <c r="C122" s="84">
        <v>400.7</v>
      </c>
      <c r="D122" s="27">
        <v>392.5</v>
      </c>
      <c r="E122" s="27">
        <v>380.4</v>
      </c>
      <c r="F122" s="27">
        <v>381.2</v>
      </c>
      <c r="G122" s="5">
        <f t="shared" si="9"/>
        <v>388.7</v>
      </c>
      <c r="H122" s="84">
        <v>351.4</v>
      </c>
      <c r="I122" s="27">
        <v>355.1</v>
      </c>
      <c r="J122" s="27">
        <v>362.1</v>
      </c>
      <c r="K122" s="27">
        <v>368.8</v>
      </c>
      <c r="L122" s="5">
        <f t="shared" si="10"/>
        <v>359.34999999999997</v>
      </c>
      <c r="M122" s="84">
        <v>370.4</v>
      </c>
      <c r="N122" s="27">
        <v>360.7</v>
      </c>
      <c r="O122" s="27">
        <v>363.29999999999995</v>
      </c>
      <c r="P122" s="27">
        <v>365.4</v>
      </c>
      <c r="Q122" s="5">
        <f t="shared" si="11"/>
        <v>364.94999999999993</v>
      </c>
      <c r="R122" s="2">
        <f t="shared" si="12"/>
        <v>367.04166666666669</v>
      </c>
      <c r="T122" s="7">
        <f t="shared" si="13"/>
        <v>2.0209272720008165E-3</v>
      </c>
      <c r="V122" s="40">
        <f>claims!D122</f>
        <v>0</v>
      </c>
      <c r="W122" s="40">
        <f>claims!E122</f>
        <v>1</v>
      </c>
      <c r="X122" s="40">
        <f>claims!F122</f>
        <v>0</v>
      </c>
      <c r="Z122" s="7">
        <f t="shared" si="14"/>
        <v>0</v>
      </c>
      <c r="AA122" s="7">
        <f t="shared" si="15"/>
        <v>2.7828022818978714E-3</v>
      </c>
      <c r="AB122" s="7">
        <f t="shared" si="17"/>
        <v>0</v>
      </c>
      <c r="AD122" s="7">
        <f t="shared" si="16"/>
        <v>9.2760076063262383E-4</v>
      </c>
      <c r="AF122" s="10"/>
      <c r="AG122" s="10"/>
      <c r="AH122" s="10"/>
      <c r="AI122" s="10"/>
    </row>
    <row r="123" spans="1:35">
      <c r="A123" s="1" t="s">
        <v>183</v>
      </c>
      <c r="B123" s="1" t="s">
        <v>487</v>
      </c>
      <c r="C123" s="84">
        <v>366.2</v>
      </c>
      <c r="D123" s="27">
        <v>353.5</v>
      </c>
      <c r="E123" s="27">
        <v>351.3</v>
      </c>
      <c r="F123" s="27">
        <v>245.8</v>
      </c>
      <c r="G123" s="5">
        <f t="shared" si="9"/>
        <v>329.2</v>
      </c>
      <c r="H123" s="84">
        <v>347.7</v>
      </c>
      <c r="I123" s="27">
        <v>346.8</v>
      </c>
      <c r="J123" s="27">
        <v>342.4</v>
      </c>
      <c r="K123" s="27">
        <v>250.2</v>
      </c>
      <c r="L123" s="5">
        <f t="shared" si="10"/>
        <v>321.77500000000003</v>
      </c>
      <c r="M123" s="84">
        <v>360.9</v>
      </c>
      <c r="N123" s="27">
        <v>346.8</v>
      </c>
      <c r="O123" s="27">
        <v>352.3</v>
      </c>
      <c r="P123" s="27">
        <v>247.9</v>
      </c>
      <c r="Q123" s="5">
        <f t="shared" si="11"/>
        <v>326.97500000000002</v>
      </c>
      <c r="R123" s="2">
        <f t="shared" si="12"/>
        <v>325.61250000000001</v>
      </c>
      <c r="T123" s="7">
        <f t="shared" si="13"/>
        <v>1.7928187481558381E-3</v>
      </c>
      <c r="V123" s="40">
        <f>claims!D123</f>
        <v>8</v>
      </c>
      <c r="W123" s="40">
        <f>claims!E123</f>
        <v>9</v>
      </c>
      <c r="X123" s="40">
        <f>claims!F123</f>
        <v>11</v>
      </c>
      <c r="Z123" s="7">
        <f t="shared" si="14"/>
        <v>2.4301336573511544E-2</v>
      </c>
      <c r="AA123" s="7">
        <f t="shared" si="15"/>
        <v>2.7969854712143576E-2</v>
      </c>
      <c r="AB123" s="7">
        <f t="shared" si="17"/>
        <v>3.3641715727502103E-2</v>
      </c>
      <c r="AD123" s="7">
        <f t="shared" si="16"/>
        <v>3.0194365530050834E-2</v>
      </c>
      <c r="AF123" s="10"/>
      <c r="AG123" s="10"/>
      <c r="AH123" s="10"/>
      <c r="AI123" s="10"/>
    </row>
    <row r="124" spans="1:35">
      <c r="A124" s="1" t="s">
        <v>184</v>
      </c>
      <c r="B124" s="1" t="s">
        <v>185</v>
      </c>
      <c r="C124" s="84">
        <v>434.2</v>
      </c>
      <c r="D124" s="27">
        <v>416.9</v>
      </c>
      <c r="E124" s="27">
        <v>426.9</v>
      </c>
      <c r="F124" s="27">
        <v>332.4</v>
      </c>
      <c r="G124" s="5">
        <f t="shared" si="9"/>
        <v>402.6</v>
      </c>
      <c r="H124" s="84">
        <v>439.6</v>
      </c>
      <c r="I124" s="27">
        <v>427</v>
      </c>
      <c r="J124" s="27">
        <v>445.5</v>
      </c>
      <c r="K124" s="27">
        <v>357.8</v>
      </c>
      <c r="L124" s="5">
        <f t="shared" si="10"/>
        <v>417.47499999999997</v>
      </c>
      <c r="M124" s="84">
        <v>460.8</v>
      </c>
      <c r="N124" s="27">
        <v>446.8</v>
      </c>
      <c r="O124" s="27">
        <v>442.4</v>
      </c>
      <c r="P124" s="27">
        <v>323.5</v>
      </c>
      <c r="Q124" s="5">
        <f t="shared" si="11"/>
        <v>418.375</v>
      </c>
      <c r="R124" s="2">
        <f t="shared" si="12"/>
        <v>415.44583333333338</v>
      </c>
      <c r="T124" s="7">
        <f t="shared" si="13"/>
        <v>2.2874400670834989E-3</v>
      </c>
      <c r="V124" s="40">
        <f>claims!D124</f>
        <v>17</v>
      </c>
      <c r="W124" s="40">
        <f>claims!E124</f>
        <v>21</v>
      </c>
      <c r="X124" s="40">
        <f>claims!F124</f>
        <v>15</v>
      </c>
      <c r="Z124" s="7">
        <f t="shared" si="14"/>
        <v>4.2225534028812718E-2</v>
      </c>
      <c r="AA124" s="7">
        <f t="shared" si="15"/>
        <v>5.0302413318162771E-2</v>
      </c>
      <c r="AB124" s="7">
        <f t="shared" si="17"/>
        <v>3.5853002688975198E-2</v>
      </c>
      <c r="AD124" s="7">
        <f t="shared" si="16"/>
        <v>4.1731561455343978E-2</v>
      </c>
      <c r="AF124" s="10"/>
      <c r="AG124" s="10"/>
      <c r="AH124" s="10"/>
      <c r="AI124" s="10"/>
    </row>
    <row r="125" spans="1:35">
      <c r="A125" s="1" t="s">
        <v>534</v>
      </c>
      <c r="B125" s="1" t="s">
        <v>535</v>
      </c>
      <c r="C125" s="84">
        <v>485.2</v>
      </c>
      <c r="D125" s="27">
        <v>488.6</v>
      </c>
      <c r="E125" s="27">
        <v>498.5</v>
      </c>
      <c r="F125" s="27">
        <v>391.1</v>
      </c>
      <c r="G125" s="5">
        <f t="shared" si="9"/>
        <v>465.85</v>
      </c>
      <c r="H125" s="84">
        <v>515.20000000000005</v>
      </c>
      <c r="I125" s="27">
        <v>496</v>
      </c>
      <c r="J125" s="27">
        <v>494</v>
      </c>
      <c r="K125" s="27">
        <v>376.79999999999995</v>
      </c>
      <c r="L125" s="5">
        <f t="shared" si="10"/>
        <v>470.5</v>
      </c>
      <c r="M125" s="84">
        <v>517.79999999999995</v>
      </c>
      <c r="N125" s="27">
        <v>524.6</v>
      </c>
      <c r="O125" s="27">
        <v>531</v>
      </c>
      <c r="P125" s="27">
        <v>409</v>
      </c>
      <c r="Q125" s="5">
        <f t="shared" si="11"/>
        <v>495.6</v>
      </c>
      <c r="R125" s="2">
        <f t="shared" si="12"/>
        <v>482.27500000000003</v>
      </c>
      <c r="T125" s="7">
        <f t="shared" si="13"/>
        <v>2.6554007041095073E-3</v>
      </c>
      <c r="V125" s="40">
        <f>claims!D125</f>
        <v>0</v>
      </c>
      <c r="W125" s="40">
        <f>claims!E125</f>
        <v>3</v>
      </c>
      <c r="X125" s="40">
        <f>claims!F125</f>
        <v>7</v>
      </c>
      <c r="Z125" s="7">
        <f t="shared" si="14"/>
        <v>0</v>
      </c>
      <c r="AA125" s="7">
        <f t="shared" si="15"/>
        <v>6.376195536663124E-3</v>
      </c>
      <c r="AB125" s="7">
        <f t="shared" si="17"/>
        <v>1.4124293785310734E-2</v>
      </c>
      <c r="AD125" s="7">
        <f t="shared" si="16"/>
        <v>9.1875454048764085E-3</v>
      </c>
      <c r="AF125" s="10"/>
      <c r="AG125" s="10"/>
      <c r="AH125" s="10"/>
      <c r="AI125" s="10"/>
    </row>
    <row r="126" spans="1:35">
      <c r="A126" s="11" t="s">
        <v>551</v>
      </c>
      <c r="B126" s="11" t="s">
        <v>546</v>
      </c>
      <c r="C126" s="84">
        <v>1709.8</v>
      </c>
      <c r="D126" s="27">
        <v>1715.5</v>
      </c>
      <c r="E126" s="27">
        <v>1650.7</v>
      </c>
      <c r="F126" s="27">
        <v>1651.8</v>
      </c>
      <c r="G126" s="5">
        <f t="shared" si="9"/>
        <v>1681.95</v>
      </c>
      <c r="H126" s="84">
        <v>1676.7</v>
      </c>
      <c r="I126" s="27">
        <v>1692</v>
      </c>
      <c r="J126" s="27">
        <v>1654.4</v>
      </c>
      <c r="K126" s="27">
        <v>1675.9</v>
      </c>
      <c r="L126" s="5">
        <f t="shared" si="10"/>
        <v>1674.75</v>
      </c>
      <c r="M126" s="84">
        <v>1721.9</v>
      </c>
      <c r="N126" s="27">
        <v>1743.3000000000002</v>
      </c>
      <c r="O126" s="27">
        <v>1714.4</v>
      </c>
      <c r="P126" s="27">
        <v>1708.6</v>
      </c>
      <c r="Q126" s="5">
        <f t="shared" si="11"/>
        <v>1722.0500000000002</v>
      </c>
      <c r="R126" s="2">
        <f t="shared" si="12"/>
        <v>1699.6000000000001</v>
      </c>
      <c r="T126" s="7">
        <f t="shared" si="13"/>
        <v>9.3579784079716316E-3</v>
      </c>
      <c r="V126" s="40">
        <f>claims!D126</f>
        <v>23</v>
      </c>
      <c r="W126" s="40">
        <f>claims!E126</f>
        <v>35</v>
      </c>
      <c r="X126" s="40">
        <f>claims!F126</f>
        <v>43</v>
      </c>
      <c r="Z126" s="7">
        <f t="shared" si="14"/>
        <v>1.3674603882398407E-2</v>
      </c>
      <c r="AA126" s="7">
        <f t="shared" si="15"/>
        <v>2.0898641588296761E-2</v>
      </c>
      <c r="AB126" s="7">
        <f t="shared" si="17"/>
        <v>2.4970238959379807E-2</v>
      </c>
      <c r="AD126" s="7">
        <f t="shared" si="16"/>
        <v>2.1730433989521892E-2</v>
      </c>
      <c r="AF126" s="10"/>
      <c r="AG126" s="10"/>
      <c r="AH126" s="10"/>
      <c r="AI126" s="10"/>
    </row>
    <row r="127" spans="1:35">
      <c r="A127" s="1" t="s">
        <v>186</v>
      </c>
      <c r="B127" s="1" t="s">
        <v>187</v>
      </c>
      <c r="C127" s="84">
        <v>273.60000000000002</v>
      </c>
      <c r="D127" s="27">
        <v>278.10000000000002</v>
      </c>
      <c r="E127" s="27">
        <v>280.2</v>
      </c>
      <c r="F127" s="27">
        <v>258.5</v>
      </c>
      <c r="G127" s="5">
        <f t="shared" si="9"/>
        <v>272.60000000000002</v>
      </c>
      <c r="H127" s="84">
        <v>245.8</v>
      </c>
      <c r="I127" s="27">
        <v>250.5</v>
      </c>
      <c r="J127" s="27">
        <v>256.10000000000002</v>
      </c>
      <c r="K127" s="27">
        <v>270.7</v>
      </c>
      <c r="L127" s="5">
        <f t="shared" si="10"/>
        <v>255.77500000000003</v>
      </c>
      <c r="M127" s="84">
        <v>294.3</v>
      </c>
      <c r="N127" s="27">
        <v>305</v>
      </c>
      <c r="O127" s="27">
        <v>321.60000000000002</v>
      </c>
      <c r="P127" s="27">
        <v>312.5</v>
      </c>
      <c r="Q127" s="5">
        <f t="shared" si="11"/>
        <v>308.35000000000002</v>
      </c>
      <c r="R127" s="2">
        <f t="shared" si="12"/>
        <v>284.86666666666673</v>
      </c>
      <c r="T127" s="7">
        <f t="shared" si="13"/>
        <v>1.5684726499279355E-3</v>
      </c>
      <c r="V127" s="40">
        <f>claims!D127</f>
        <v>0</v>
      </c>
      <c r="W127" s="40">
        <f>claims!E127</f>
        <v>0</v>
      </c>
      <c r="X127" s="40">
        <f>claims!F127</f>
        <v>0</v>
      </c>
      <c r="Z127" s="7">
        <f t="shared" si="14"/>
        <v>0</v>
      </c>
      <c r="AA127" s="7">
        <f t="shared" si="15"/>
        <v>0</v>
      </c>
      <c r="AB127" s="7">
        <f t="shared" si="17"/>
        <v>0</v>
      </c>
      <c r="AD127" s="7">
        <f t="shared" si="16"/>
        <v>0</v>
      </c>
      <c r="AF127" s="10"/>
      <c r="AG127" s="10"/>
      <c r="AH127" s="10"/>
      <c r="AI127" s="10"/>
    </row>
    <row r="128" spans="1:35">
      <c r="A128" s="1" t="s">
        <v>188</v>
      </c>
      <c r="B128" s="1" t="s">
        <v>525</v>
      </c>
      <c r="C128" s="84">
        <v>57.3</v>
      </c>
      <c r="D128" s="27">
        <v>56.9</v>
      </c>
      <c r="E128" s="27">
        <v>54.9</v>
      </c>
      <c r="F128" s="27">
        <v>56.2</v>
      </c>
      <c r="G128" s="5">
        <f t="shared" si="9"/>
        <v>56.325000000000003</v>
      </c>
      <c r="H128" s="84">
        <v>57.2</v>
      </c>
      <c r="I128" s="27">
        <v>56.400000000000006</v>
      </c>
      <c r="J128" s="27">
        <v>53.5</v>
      </c>
      <c r="K128" s="27">
        <v>54.3</v>
      </c>
      <c r="L128" s="5">
        <f t="shared" si="10"/>
        <v>55.350000000000009</v>
      </c>
      <c r="M128" s="84">
        <v>52.5</v>
      </c>
      <c r="N128" s="27">
        <v>53.9</v>
      </c>
      <c r="O128" s="27">
        <v>56.4</v>
      </c>
      <c r="P128" s="27">
        <v>56</v>
      </c>
      <c r="Q128" s="5">
        <f t="shared" si="11"/>
        <v>54.7</v>
      </c>
      <c r="R128" s="2">
        <f t="shared" si="12"/>
        <v>55.187500000000007</v>
      </c>
      <c r="T128" s="7">
        <f t="shared" si="13"/>
        <v>3.0386175181803626E-4</v>
      </c>
      <c r="V128" s="40">
        <f>claims!D128</f>
        <v>0</v>
      </c>
      <c r="W128" s="40">
        <f>claims!E128</f>
        <v>2</v>
      </c>
      <c r="X128" s="40">
        <f>claims!F128</f>
        <v>1</v>
      </c>
      <c r="Z128" s="7">
        <f t="shared" si="14"/>
        <v>0</v>
      </c>
      <c r="AA128" s="7">
        <f t="shared" si="15"/>
        <v>0.02</v>
      </c>
      <c r="AB128" s="7">
        <f t="shared" si="17"/>
        <v>0.01</v>
      </c>
      <c r="AD128" s="7">
        <f t="shared" si="16"/>
        <v>1.1666666666666667E-2</v>
      </c>
      <c r="AF128" s="10"/>
      <c r="AG128" s="10"/>
      <c r="AH128" s="10"/>
      <c r="AI128" s="10"/>
    </row>
    <row r="129" spans="1:35">
      <c r="A129" s="1" t="s">
        <v>189</v>
      </c>
      <c r="B129" s="1" t="s">
        <v>190</v>
      </c>
      <c r="C129" s="84">
        <v>1280.5</v>
      </c>
      <c r="D129" s="27">
        <v>1221.2</v>
      </c>
      <c r="E129" s="27">
        <v>1254.3</v>
      </c>
      <c r="F129" s="27">
        <v>827.6</v>
      </c>
      <c r="G129" s="5">
        <f t="shared" si="9"/>
        <v>1145.9000000000001</v>
      </c>
      <c r="H129" s="84">
        <v>1265.7</v>
      </c>
      <c r="I129" s="27">
        <v>1230.8000000000002</v>
      </c>
      <c r="J129" s="27">
        <v>1263</v>
      </c>
      <c r="K129" s="27">
        <v>872.40000000000009</v>
      </c>
      <c r="L129" s="5">
        <f t="shared" si="10"/>
        <v>1157.9749999999999</v>
      </c>
      <c r="M129" s="84">
        <v>1308.5999999999999</v>
      </c>
      <c r="N129" s="27">
        <v>1269.0999999999999</v>
      </c>
      <c r="O129" s="27">
        <v>1283.0999999999999</v>
      </c>
      <c r="P129" s="27">
        <v>882.40000000000009</v>
      </c>
      <c r="Q129" s="5">
        <f t="shared" si="11"/>
        <v>1185.8</v>
      </c>
      <c r="R129" s="2">
        <f t="shared" si="12"/>
        <v>1169.875</v>
      </c>
      <c r="T129" s="7">
        <f t="shared" si="13"/>
        <v>6.4413185396715762E-3</v>
      </c>
      <c r="V129" s="40">
        <f>claims!D129</f>
        <v>15</v>
      </c>
      <c r="W129" s="40">
        <f>claims!E129</f>
        <v>12</v>
      </c>
      <c r="X129" s="40">
        <f>claims!F129</f>
        <v>5</v>
      </c>
      <c r="Z129" s="7">
        <f t="shared" si="14"/>
        <v>1.30901474823283E-2</v>
      </c>
      <c r="AA129" s="7">
        <f t="shared" si="15"/>
        <v>1.036291802500054E-2</v>
      </c>
      <c r="AB129" s="7">
        <f t="shared" si="17"/>
        <v>4.2165626581211002E-3</v>
      </c>
      <c r="AD129" s="7">
        <f t="shared" si="16"/>
        <v>7.7442785844487813E-3</v>
      </c>
      <c r="AF129" s="10"/>
      <c r="AG129" s="10"/>
      <c r="AH129" s="10"/>
      <c r="AI129" s="10"/>
    </row>
    <row r="130" spans="1:35">
      <c r="A130" s="1" t="s">
        <v>191</v>
      </c>
      <c r="B130" s="1" t="s">
        <v>526</v>
      </c>
      <c r="C130" s="84">
        <v>157.1</v>
      </c>
      <c r="D130" s="27">
        <v>154.5</v>
      </c>
      <c r="E130" s="27">
        <v>160</v>
      </c>
      <c r="F130" s="27">
        <v>126.3</v>
      </c>
      <c r="G130" s="5">
        <f t="shared" si="9"/>
        <v>149.47499999999999</v>
      </c>
      <c r="H130" s="84">
        <v>164.6</v>
      </c>
      <c r="I130" s="27">
        <v>159</v>
      </c>
      <c r="J130" s="27">
        <v>162.79999999999998</v>
      </c>
      <c r="K130" s="27">
        <v>124.4</v>
      </c>
      <c r="L130" s="5">
        <f t="shared" si="10"/>
        <v>152.69999999999999</v>
      </c>
      <c r="M130" s="84">
        <v>106.2</v>
      </c>
      <c r="N130" s="27">
        <v>164.10000000000002</v>
      </c>
      <c r="O130" s="27">
        <v>157.80000000000001</v>
      </c>
      <c r="P130" s="27">
        <v>221.3</v>
      </c>
      <c r="Q130" s="5">
        <f t="shared" si="11"/>
        <v>162.35000000000002</v>
      </c>
      <c r="R130" s="2">
        <f t="shared" si="12"/>
        <v>156.98750000000001</v>
      </c>
      <c r="T130" s="7">
        <f t="shared" si="13"/>
        <v>8.643714022837411E-4</v>
      </c>
      <c r="V130" s="40">
        <f>claims!D130</f>
        <v>1</v>
      </c>
      <c r="W130" s="40">
        <f>claims!E130</f>
        <v>3</v>
      </c>
      <c r="X130" s="40">
        <f>claims!F130</f>
        <v>1</v>
      </c>
      <c r="Z130" s="7">
        <f t="shared" si="14"/>
        <v>6.6900819535039308E-3</v>
      </c>
      <c r="AA130" s="7">
        <f t="shared" si="15"/>
        <v>1.964636542239686E-2</v>
      </c>
      <c r="AB130" s="7">
        <f t="shared" si="17"/>
        <v>6.1595318755774554E-3</v>
      </c>
      <c r="AD130" s="7">
        <f t="shared" si="16"/>
        <v>1.0743568070838335E-2</v>
      </c>
      <c r="AF130" s="10"/>
      <c r="AG130" s="10"/>
      <c r="AH130" s="10"/>
      <c r="AI130" s="10"/>
    </row>
    <row r="131" spans="1:35">
      <c r="A131" s="1" t="s">
        <v>192</v>
      </c>
      <c r="B131" s="1" t="s">
        <v>527</v>
      </c>
      <c r="C131" s="84">
        <v>200</v>
      </c>
      <c r="D131" s="27">
        <v>187.6</v>
      </c>
      <c r="E131" s="27">
        <v>200.9</v>
      </c>
      <c r="F131" s="27">
        <v>160.1</v>
      </c>
      <c r="G131" s="5">
        <f t="shared" si="9"/>
        <v>187.15</v>
      </c>
      <c r="H131" s="84">
        <v>201.9</v>
      </c>
      <c r="I131" s="27">
        <v>192.4</v>
      </c>
      <c r="J131" s="27">
        <v>205.60000000000002</v>
      </c>
      <c r="K131" s="27">
        <v>180.3</v>
      </c>
      <c r="L131" s="5">
        <f t="shared" si="10"/>
        <v>195.05</v>
      </c>
      <c r="M131" s="84">
        <v>222.2</v>
      </c>
      <c r="N131" s="27">
        <v>216.5</v>
      </c>
      <c r="O131" s="27">
        <v>221.3</v>
      </c>
      <c r="P131" s="27">
        <v>283</v>
      </c>
      <c r="Q131" s="5">
        <f t="shared" si="11"/>
        <v>235.75</v>
      </c>
      <c r="R131" s="2">
        <f t="shared" si="12"/>
        <v>214.08333333333334</v>
      </c>
      <c r="T131" s="7">
        <f t="shared" si="13"/>
        <v>1.1787404158860478E-3</v>
      </c>
      <c r="V131" s="40">
        <f>claims!D131</f>
        <v>1</v>
      </c>
      <c r="W131" s="40">
        <f>claims!E131</f>
        <v>4</v>
      </c>
      <c r="X131" s="40">
        <f>claims!F131</f>
        <v>1</v>
      </c>
      <c r="Z131" s="7">
        <f t="shared" si="14"/>
        <v>5.3433075073470475E-3</v>
      </c>
      <c r="AA131" s="7">
        <f t="shared" si="15"/>
        <v>2.0507562163547807E-2</v>
      </c>
      <c r="AB131" s="7">
        <f t="shared" si="17"/>
        <v>4.2417815482502655E-3</v>
      </c>
      <c r="AD131" s="7">
        <f t="shared" si="16"/>
        <v>9.8472960798655761E-3</v>
      </c>
      <c r="AF131" s="10"/>
      <c r="AG131" s="10"/>
      <c r="AH131" s="10"/>
      <c r="AI131" s="10"/>
    </row>
    <row r="132" spans="1:35">
      <c r="A132" s="1" t="s">
        <v>193</v>
      </c>
      <c r="B132" s="1" t="s">
        <v>488</v>
      </c>
      <c r="C132" s="84">
        <v>128.6</v>
      </c>
      <c r="D132" s="27">
        <v>200.2</v>
      </c>
      <c r="E132" s="27">
        <v>194.6</v>
      </c>
      <c r="F132" s="27">
        <v>243.6</v>
      </c>
      <c r="G132" s="5">
        <f t="shared" ref="G132:G139" si="18">AVERAGE(C132:F132)</f>
        <v>191.75</v>
      </c>
      <c r="H132" s="84">
        <v>214.7</v>
      </c>
      <c r="I132" s="27">
        <v>290.5</v>
      </c>
      <c r="J132" s="27">
        <v>211.9</v>
      </c>
      <c r="K132" s="27">
        <v>264</v>
      </c>
      <c r="L132" s="5">
        <f t="shared" ref="L132:L139" si="19">AVERAGE(H132:K132)</f>
        <v>245.27500000000001</v>
      </c>
      <c r="M132" s="84">
        <v>163.29999999999998</v>
      </c>
      <c r="N132" s="27">
        <v>254.4</v>
      </c>
      <c r="O132" s="27">
        <v>247.5</v>
      </c>
      <c r="P132" s="27">
        <v>318.2</v>
      </c>
      <c r="Q132" s="5">
        <f t="shared" ref="Q132:Q138" si="20">AVERAGE(M132:P132)</f>
        <v>245.85000000000002</v>
      </c>
      <c r="R132" s="2">
        <f t="shared" ref="R132:R137" si="21">IF(G132&gt;0,(+G132+(L132*2)+(Q132*3))/6,IF(L132&gt;0,((L132*2)+(Q132*3))/5,Q132))</f>
        <v>236.64166666666665</v>
      </c>
      <c r="T132" s="7">
        <f t="shared" si="13"/>
        <v>1.3029463444887541E-3</v>
      </c>
      <c r="V132" s="40">
        <f>claims!D132</f>
        <v>2</v>
      </c>
      <c r="W132" s="40">
        <f>claims!E132</f>
        <v>1</v>
      </c>
      <c r="X132" s="40">
        <f>claims!F132</f>
        <v>1</v>
      </c>
      <c r="Z132" s="7">
        <f t="shared" ref="Z132:Z139" si="22">IF(G132&gt;100,IF(V132&lt;1,0,+V132/G132),IF(V132&lt;1,0,+V132/100))</f>
        <v>1.0430247718383311E-2</v>
      </c>
      <c r="AA132" s="7">
        <f t="shared" ref="AA132:AA139" si="23">IF(L132&gt;100,IF(W132&lt;1,0,+W132/L132),IF(W132&lt;1,0,+W132/100))</f>
        <v>4.0770563653042503E-3</v>
      </c>
      <c r="AB132" s="7">
        <f t="shared" si="17"/>
        <v>4.067520846044336E-3</v>
      </c>
      <c r="AD132" s="7">
        <f t="shared" ref="AD132:AD139" si="24">(+Z132+(AA132*2)+(AB132*3))/6</f>
        <v>5.1311538311874698E-3</v>
      </c>
      <c r="AF132" s="10"/>
      <c r="AG132" s="10"/>
      <c r="AH132" s="10"/>
      <c r="AI132" s="10"/>
    </row>
    <row r="133" spans="1:35">
      <c r="A133" s="1" t="s">
        <v>194</v>
      </c>
      <c r="B133" s="1" t="s">
        <v>528</v>
      </c>
      <c r="C133" s="84">
        <v>2949.3</v>
      </c>
      <c r="D133" s="27">
        <v>2932.3</v>
      </c>
      <c r="E133" s="27">
        <v>2953.1</v>
      </c>
      <c r="F133" s="27">
        <v>3011.5</v>
      </c>
      <c r="G133" s="5">
        <f t="shared" si="18"/>
        <v>2961.55</v>
      </c>
      <c r="H133" s="84">
        <v>2970.2</v>
      </c>
      <c r="I133" s="27">
        <v>3011</v>
      </c>
      <c r="J133" s="27">
        <v>3037.1</v>
      </c>
      <c r="K133" s="27">
        <v>3070.8</v>
      </c>
      <c r="L133" s="5">
        <f t="shared" si="19"/>
        <v>3022.2749999999996</v>
      </c>
      <c r="M133" s="84">
        <v>3029.7</v>
      </c>
      <c r="N133" s="27">
        <v>3070</v>
      </c>
      <c r="O133" s="27">
        <v>3087.1</v>
      </c>
      <c r="P133" s="27">
        <v>3231.8</v>
      </c>
      <c r="Q133" s="5">
        <f t="shared" si="20"/>
        <v>3104.6499999999996</v>
      </c>
      <c r="R133" s="2">
        <f t="shared" si="21"/>
        <v>3053.3416666666658</v>
      </c>
      <c r="T133" s="7">
        <f t="shared" ref="T133:T196" si="25">+R133/$R$264</f>
        <v>1.6811664738071764E-2</v>
      </c>
      <c r="V133" s="40">
        <f>claims!D133</f>
        <v>90</v>
      </c>
      <c r="W133" s="40">
        <f>claims!E133</f>
        <v>111</v>
      </c>
      <c r="X133" s="40">
        <f>claims!F133</f>
        <v>96</v>
      </c>
      <c r="Z133" s="7">
        <f t="shared" si="22"/>
        <v>3.038949198899225E-2</v>
      </c>
      <c r="AA133" s="7">
        <f t="shared" si="23"/>
        <v>3.6727299798992488E-2</v>
      </c>
      <c r="AB133" s="7">
        <f t="shared" ref="AB133:AB139" si="26">IF(Q133&gt;100,IF(X133&lt;1,0,+X133/Q133),IF(X133&lt;1,0,+X133/100))</f>
        <v>3.0921359895640415E-2</v>
      </c>
      <c r="AD133" s="7">
        <f t="shared" si="24"/>
        <v>3.2768028545649745E-2</v>
      </c>
      <c r="AF133" s="10"/>
      <c r="AG133" s="10"/>
      <c r="AH133" s="10"/>
      <c r="AI133" s="10"/>
    </row>
    <row r="134" spans="1:35">
      <c r="A134" s="1" t="s">
        <v>195</v>
      </c>
      <c r="B134" s="1" t="s">
        <v>196</v>
      </c>
      <c r="C134" s="84">
        <v>290.39999999999998</v>
      </c>
      <c r="D134" s="27">
        <v>288.39999999999998</v>
      </c>
      <c r="E134" s="27">
        <v>292.39999999999998</v>
      </c>
      <c r="F134" s="27">
        <v>294.3</v>
      </c>
      <c r="G134" s="5">
        <f t="shared" si="18"/>
        <v>291.375</v>
      </c>
      <c r="H134" s="84">
        <v>294.7</v>
      </c>
      <c r="I134" s="27">
        <v>293.10000000000002</v>
      </c>
      <c r="J134" s="27">
        <v>296.5</v>
      </c>
      <c r="K134" s="27">
        <v>299</v>
      </c>
      <c r="L134" s="5">
        <f t="shared" si="19"/>
        <v>295.82499999999999</v>
      </c>
      <c r="M134" s="84">
        <v>310.10000000000002</v>
      </c>
      <c r="N134" s="27">
        <v>323.39999999999998</v>
      </c>
      <c r="O134" s="27">
        <v>326.89999999999998</v>
      </c>
      <c r="P134" s="27">
        <v>333.3</v>
      </c>
      <c r="Q134" s="5">
        <f t="shared" si="20"/>
        <v>323.42500000000001</v>
      </c>
      <c r="R134" s="2">
        <f t="shared" si="21"/>
        <v>308.88333333333338</v>
      </c>
      <c r="T134" s="7">
        <f t="shared" si="25"/>
        <v>1.7007081453963506E-3</v>
      </c>
      <c r="V134" s="40">
        <f>claims!D134</f>
        <v>6</v>
      </c>
      <c r="W134" s="40">
        <f>claims!E134</f>
        <v>3</v>
      </c>
      <c r="X134" s="40">
        <f>claims!F134</f>
        <v>5</v>
      </c>
      <c r="Z134" s="7">
        <f t="shared" si="22"/>
        <v>2.0592020592020591E-2</v>
      </c>
      <c r="AA134" s="7">
        <f t="shared" si="23"/>
        <v>1.0141130736077072E-2</v>
      </c>
      <c r="AB134" s="7">
        <f t="shared" si="26"/>
        <v>1.5459534668006493E-2</v>
      </c>
      <c r="AD134" s="7">
        <f t="shared" si="24"/>
        <v>1.4542147678032366E-2</v>
      </c>
      <c r="AF134" s="10"/>
      <c r="AG134" s="10"/>
      <c r="AH134" s="10"/>
      <c r="AI134" s="10"/>
    </row>
    <row r="135" spans="1:35">
      <c r="A135" s="1" t="s">
        <v>197</v>
      </c>
      <c r="B135" s="1" t="s">
        <v>198</v>
      </c>
      <c r="C135" s="84">
        <v>171.5</v>
      </c>
      <c r="D135" s="27">
        <v>167.4</v>
      </c>
      <c r="E135" s="27">
        <v>174.9</v>
      </c>
      <c r="F135" s="27">
        <v>170.8</v>
      </c>
      <c r="G135" s="5">
        <f t="shared" si="18"/>
        <v>171.14999999999998</v>
      </c>
      <c r="H135" s="84">
        <v>176</v>
      </c>
      <c r="I135" s="27">
        <v>179.10000000000002</v>
      </c>
      <c r="J135" s="27">
        <v>183</v>
      </c>
      <c r="K135" s="27">
        <v>183.4</v>
      </c>
      <c r="L135" s="5">
        <f t="shared" si="19"/>
        <v>180.375</v>
      </c>
      <c r="M135" s="84">
        <v>186.5</v>
      </c>
      <c r="N135" s="27">
        <v>201</v>
      </c>
      <c r="O135" s="27">
        <v>208</v>
      </c>
      <c r="P135" s="27">
        <v>211.8</v>
      </c>
      <c r="Q135" s="5">
        <f t="shared" si="20"/>
        <v>201.82499999999999</v>
      </c>
      <c r="R135" s="2">
        <f t="shared" si="21"/>
        <v>189.5625</v>
      </c>
      <c r="T135" s="7">
        <f t="shared" si="25"/>
        <v>1.0437289844440587E-3</v>
      </c>
      <c r="V135" s="40">
        <f>claims!D135</f>
        <v>5</v>
      </c>
      <c r="W135" s="40">
        <f>claims!E135</f>
        <v>1</v>
      </c>
      <c r="X135" s="40">
        <f>claims!F135</f>
        <v>4</v>
      </c>
      <c r="Z135" s="7">
        <f t="shared" si="22"/>
        <v>2.9214139643587499E-2</v>
      </c>
      <c r="AA135" s="7">
        <f t="shared" si="23"/>
        <v>5.544005544005544E-3</v>
      </c>
      <c r="AB135" s="7">
        <f t="shared" si="26"/>
        <v>1.9819150253932865E-2</v>
      </c>
      <c r="AD135" s="7">
        <f t="shared" si="24"/>
        <v>1.6626600248899531E-2</v>
      </c>
      <c r="AF135" s="10"/>
      <c r="AG135" s="10"/>
      <c r="AH135" s="10"/>
      <c r="AI135" s="10"/>
    </row>
    <row r="136" spans="1:35">
      <c r="A136" s="1" t="s">
        <v>199</v>
      </c>
      <c r="B136" s="1" t="s">
        <v>200</v>
      </c>
      <c r="C136" s="84">
        <v>13.6</v>
      </c>
      <c r="D136" s="27">
        <v>14</v>
      </c>
      <c r="E136" s="27">
        <v>14</v>
      </c>
      <c r="F136" s="27">
        <v>13.2</v>
      </c>
      <c r="G136" s="5">
        <f t="shared" si="18"/>
        <v>13.7</v>
      </c>
      <c r="H136" s="84">
        <v>13.3</v>
      </c>
      <c r="I136" s="27">
        <v>13.6</v>
      </c>
      <c r="J136" s="27">
        <v>14</v>
      </c>
      <c r="K136" s="27">
        <v>13.5</v>
      </c>
      <c r="L136" s="5">
        <f t="shared" si="19"/>
        <v>13.6</v>
      </c>
      <c r="M136" s="84">
        <v>14</v>
      </c>
      <c r="N136" s="27">
        <v>13.7</v>
      </c>
      <c r="O136" s="27">
        <v>13.8</v>
      </c>
      <c r="P136" s="27">
        <v>13.6</v>
      </c>
      <c r="Q136" s="5">
        <f t="shared" si="20"/>
        <v>13.775</v>
      </c>
      <c r="R136" s="2">
        <f t="shared" si="21"/>
        <v>13.704166666666666</v>
      </c>
      <c r="T136" s="7">
        <f t="shared" si="25"/>
        <v>7.5454986918046133E-5</v>
      </c>
      <c r="V136" s="40">
        <f>claims!D136</f>
        <v>0</v>
      </c>
      <c r="W136" s="40">
        <f>claims!E136</f>
        <v>0</v>
      </c>
      <c r="X136" s="40">
        <f>claims!F136</f>
        <v>0</v>
      </c>
      <c r="Z136" s="7">
        <f t="shared" si="22"/>
        <v>0</v>
      </c>
      <c r="AA136" s="7">
        <f t="shared" si="23"/>
        <v>0</v>
      </c>
      <c r="AB136" s="7">
        <f t="shared" si="26"/>
        <v>0</v>
      </c>
      <c r="AD136" s="7">
        <f t="shared" si="24"/>
        <v>0</v>
      </c>
      <c r="AF136" s="10"/>
      <c r="AG136" s="10"/>
      <c r="AH136" s="10"/>
      <c r="AI136" s="10"/>
    </row>
    <row r="137" spans="1:35">
      <c r="A137" s="1" t="s">
        <v>201</v>
      </c>
      <c r="B137" s="1" t="s">
        <v>450</v>
      </c>
      <c r="C137" s="5">
        <v>4.7</v>
      </c>
      <c r="D137" s="5">
        <v>4.7</v>
      </c>
      <c r="E137" s="5">
        <v>4.7</v>
      </c>
      <c r="F137" s="5">
        <v>4.7</v>
      </c>
      <c r="G137" s="5">
        <f t="shared" si="18"/>
        <v>4.7</v>
      </c>
      <c r="H137" s="5">
        <v>4</v>
      </c>
      <c r="I137" s="5">
        <v>4</v>
      </c>
      <c r="J137" s="5">
        <v>4</v>
      </c>
      <c r="K137" s="5">
        <v>4</v>
      </c>
      <c r="L137" s="5">
        <f t="shared" si="19"/>
        <v>4</v>
      </c>
      <c r="M137" s="5">
        <v>4.9000000000000004</v>
      </c>
      <c r="N137" s="5">
        <v>4.9000000000000004</v>
      </c>
      <c r="O137" s="5">
        <v>4.9000000000000004</v>
      </c>
      <c r="P137" s="5">
        <v>4.9000000000000004</v>
      </c>
      <c r="Q137" s="5">
        <f t="shared" si="20"/>
        <v>4.9000000000000004</v>
      </c>
      <c r="R137" s="2">
        <f t="shared" si="21"/>
        <v>4.5666666666666664</v>
      </c>
      <c r="T137" s="7">
        <f t="shared" si="25"/>
        <v>2.5144015099476609E-5</v>
      </c>
      <c r="V137" s="40">
        <f>claims!D137</f>
        <v>0</v>
      </c>
      <c r="W137" s="40">
        <f>claims!E137</f>
        <v>0</v>
      </c>
      <c r="X137" s="40">
        <f>claims!F137</f>
        <v>0</v>
      </c>
      <c r="Z137" s="7">
        <f t="shared" si="22"/>
        <v>0</v>
      </c>
      <c r="AA137" s="7">
        <f t="shared" si="23"/>
        <v>0</v>
      </c>
      <c r="AB137" s="7">
        <f t="shared" si="26"/>
        <v>0</v>
      </c>
      <c r="AD137" s="7">
        <f t="shared" si="24"/>
        <v>0</v>
      </c>
    </row>
    <row r="138" spans="1:35">
      <c r="A138" s="11" t="s">
        <v>567</v>
      </c>
      <c r="B138" s="1" t="s">
        <v>569</v>
      </c>
      <c r="C138" s="5">
        <v>6</v>
      </c>
      <c r="D138" s="5">
        <v>6</v>
      </c>
      <c r="E138" s="5">
        <v>6</v>
      </c>
      <c r="F138" s="5">
        <v>6</v>
      </c>
      <c r="G138" s="5">
        <f t="shared" si="18"/>
        <v>6</v>
      </c>
      <c r="H138" s="5">
        <v>9</v>
      </c>
      <c r="I138" s="5">
        <v>9</v>
      </c>
      <c r="J138" s="5">
        <v>9</v>
      </c>
      <c r="K138" s="5">
        <v>9</v>
      </c>
      <c r="L138" s="5">
        <f>AVERAGE(H138:K138)</f>
        <v>9</v>
      </c>
      <c r="M138" s="5">
        <v>19</v>
      </c>
      <c r="N138" s="5">
        <v>19</v>
      </c>
      <c r="O138" s="5">
        <v>19</v>
      </c>
      <c r="P138" s="5">
        <v>19</v>
      </c>
      <c r="Q138" s="5">
        <f t="shared" si="20"/>
        <v>19</v>
      </c>
      <c r="R138" s="2">
        <f>IF(G138&gt;0,(+G138+(L138*2)+(Q138*3))/6,IF(L138&gt;0,((L138*2)+(Q138*3))/5,Q138))</f>
        <v>13.5</v>
      </c>
      <c r="T138" s="7">
        <f t="shared" si="25"/>
        <v>7.4330847556846905E-5</v>
      </c>
      <c r="V138" s="40">
        <f>claims!D138</f>
        <v>0</v>
      </c>
      <c r="W138" s="40">
        <f>claims!E138</f>
        <v>0</v>
      </c>
      <c r="X138" s="40">
        <f>claims!F138</f>
        <v>0</v>
      </c>
      <c r="Z138" s="7">
        <f t="shared" si="22"/>
        <v>0</v>
      </c>
      <c r="AA138" s="7">
        <f t="shared" si="23"/>
        <v>0</v>
      </c>
      <c r="AB138" s="7">
        <f t="shared" si="26"/>
        <v>0</v>
      </c>
      <c r="AD138" s="7">
        <f t="shared" si="24"/>
        <v>0</v>
      </c>
    </row>
    <row r="139" spans="1:35">
      <c r="A139" s="1" t="s">
        <v>568</v>
      </c>
      <c r="B139" s="1" t="s">
        <v>570</v>
      </c>
      <c r="C139" s="5">
        <v>76</v>
      </c>
      <c r="D139" s="5">
        <v>80</v>
      </c>
      <c r="E139" s="5">
        <v>80</v>
      </c>
      <c r="F139" s="5">
        <v>83</v>
      </c>
      <c r="G139" s="5">
        <f t="shared" si="18"/>
        <v>79.75</v>
      </c>
      <c r="H139" s="5">
        <v>80.2</v>
      </c>
      <c r="I139" s="5">
        <v>80.2</v>
      </c>
      <c r="J139" s="5">
        <v>80.2</v>
      </c>
      <c r="K139" s="5">
        <v>80.2</v>
      </c>
      <c r="L139" s="5">
        <f t="shared" si="19"/>
        <v>80.2</v>
      </c>
      <c r="M139" s="5">
        <v>85.3</v>
      </c>
      <c r="N139" s="5">
        <v>85.3</v>
      </c>
      <c r="O139" s="5">
        <v>85.3</v>
      </c>
      <c r="P139" s="5">
        <v>85.3</v>
      </c>
      <c r="Q139" s="5">
        <f>AVERAGE(M139:P139)</f>
        <v>85.3</v>
      </c>
      <c r="R139" s="2">
        <f>IF(G139&gt;0,(+G139+(L139*2)+(Q139*3))/6,IF(L139&gt;0,((L139*2)+(Q139*3))/5,Q139))</f>
        <v>82.674999999999997</v>
      </c>
      <c r="T139" s="7">
        <f t="shared" si="25"/>
        <v>4.552076164268384E-4</v>
      </c>
      <c r="V139" s="40">
        <f>claims!D139</f>
        <v>0</v>
      </c>
      <c r="W139" s="40">
        <f>claims!E139</f>
        <v>0</v>
      </c>
      <c r="X139" s="40">
        <f>claims!F139</f>
        <v>0</v>
      </c>
      <c r="Z139" s="7">
        <f t="shared" si="22"/>
        <v>0</v>
      </c>
      <c r="AA139" s="7">
        <f t="shared" si="23"/>
        <v>0</v>
      </c>
      <c r="AB139" s="7">
        <f t="shared" si="26"/>
        <v>0</v>
      </c>
      <c r="AD139" s="7">
        <f t="shared" si="24"/>
        <v>0</v>
      </c>
    </row>
    <row r="140" spans="1:35" outlineLevel="1">
      <c r="A140" s="1" t="s">
        <v>202</v>
      </c>
      <c r="B140" s="1" t="s">
        <v>203</v>
      </c>
      <c r="C140" s="22"/>
      <c r="D140" s="5" t="s">
        <v>203</v>
      </c>
      <c r="E140" s="22"/>
      <c r="F140" s="5">
        <v>17</v>
      </c>
      <c r="G140" s="5">
        <f t="shared" ref="G140:G172" si="27">AVERAGE(C140:F140)</f>
        <v>17</v>
      </c>
      <c r="H140" s="22"/>
      <c r="I140" s="5" t="s">
        <v>203</v>
      </c>
      <c r="J140" s="22"/>
      <c r="K140" s="5">
        <v>16</v>
      </c>
      <c r="L140" s="5">
        <f t="shared" ref="L140:L172" si="28">AVERAGE(H140:K140)</f>
        <v>16</v>
      </c>
      <c r="M140" s="22"/>
      <c r="N140" s="5" t="s">
        <v>203</v>
      </c>
      <c r="O140" s="22"/>
      <c r="P140" s="5">
        <v>15</v>
      </c>
      <c r="Q140" s="5">
        <f t="shared" ref="Q140:Q171" si="29">AVERAGE(M140:P140)</f>
        <v>15</v>
      </c>
      <c r="R140" s="2">
        <f t="shared" ref="R140:R170" si="30">IF(G140&gt;0,(+G140+(L140*2)+(Q140*3))/6,IF(L140&gt;0,((L140*2)+(Q140*3))/5,Q140))</f>
        <v>15.666666666666666</v>
      </c>
      <c r="T140" s="7">
        <f t="shared" si="25"/>
        <v>8.6260489757328514E-5</v>
      </c>
      <c r="V140" s="40">
        <f>claims!D140</f>
        <v>0</v>
      </c>
      <c r="W140" s="40">
        <f>claims!E140</f>
        <v>0</v>
      </c>
      <c r="X140" s="40">
        <f>claims!F140</f>
        <v>0</v>
      </c>
      <c r="Z140" s="7">
        <f t="shared" ref="Z140:Z203" si="31">IF(G140&gt;100,IF(V140&lt;1,0,+V140/G140),IF(V140&lt;1,0,+V140/100))</f>
        <v>0</v>
      </c>
      <c r="AA140" s="7">
        <f t="shared" ref="AA140:AA203" si="32">IF(L140&gt;100,IF(W140&lt;1,0,+W140/L140),IF(W140&lt;1,0,+W140/100))</f>
        <v>0</v>
      </c>
      <c r="AB140" s="7">
        <f t="shared" ref="AB140:AB203" si="33">IF(Q140&gt;100,IF(X140&lt;1,0,+X140/Q140),IF(X140&lt;1,0,+X140/100))</f>
        <v>0</v>
      </c>
      <c r="AD140" s="7">
        <f t="shared" ref="AD140:AD203" si="34">(+Z140+(AA140*2)+(AB140*3))/6</f>
        <v>0</v>
      </c>
    </row>
    <row r="141" spans="1:35" outlineLevel="1">
      <c r="A141" s="1" t="s">
        <v>204</v>
      </c>
      <c r="B141" s="1" t="s">
        <v>205</v>
      </c>
      <c r="C141" s="22"/>
      <c r="D141" s="5" t="s">
        <v>205</v>
      </c>
      <c r="E141" s="22"/>
      <c r="F141" s="5">
        <v>7</v>
      </c>
      <c r="G141" s="5">
        <f t="shared" si="27"/>
        <v>7</v>
      </c>
      <c r="H141" s="22"/>
      <c r="I141" s="5" t="s">
        <v>205</v>
      </c>
      <c r="J141" s="22"/>
      <c r="K141" s="5">
        <v>7</v>
      </c>
      <c r="L141" s="5">
        <f t="shared" si="28"/>
        <v>7</v>
      </c>
      <c r="M141" s="22"/>
      <c r="N141" s="5" t="s">
        <v>205</v>
      </c>
      <c r="O141" s="22"/>
      <c r="P141" s="5">
        <v>7</v>
      </c>
      <c r="Q141" s="5">
        <f t="shared" si="29"/>
        <v>7</v>
      </c>
      <c r="R141" s="2">
        <f t="shared" si="30"/>
        <v>7</v>
      </c>
      <c r="T141" s="7">
        <f t="shared" si="25"/>
        <v>3.8541920955402104E-5</v>
      </c>
      <c r="V141" s="40">
        <f>claims!D141</f>
        <v>0</v>
      </c>
      <c r="W141" s="40">
        <f>claims!E141</f>
        <v>0</v>
      </c>
      <c r="X141" s="40">
        <f>claims!F141</f>
        <v>0</v>
      </c>
      <c r="Z141" s="7">
        <f t="shared" si="31"/>
        <v>0</v>
      </c>
      <c r="AA141" s="7">
        <f t="shared" si="32"/>
        <v>0</v>
      </c>
      <c r="AB141" s="7">
        <f t="shared" si="33"/>
        <v>0</v>
      </c>
      <c r="AD141" s="7">
        <f t="shared" si="34"/>
        <v>0</v>
      </c>
    </row>
    <row r="142" spans="1:35" outlineLevel="1">
      <c r="A142" s="1" t="s">
        <v>206</v>
      </c>
      <c r="B142" s="1" t="s">
        <v>207</v>
      </c>
      <c r="C142" s="22"/>
      <c r="D142" s="5" t="s">
        <v>207</v>
      </c>
      <c r="E142" s="22"/>
      <c r="F142" s="5">
        <v>20</v>
      </c>
      <c r="G142" s="5">
        <f t="shared" si="27"/>
        <v>20</v>
      </c>
      <c r="H142" s="22"/>
      <c r="I142" s="5" t="s">
        <v>207</v>
      </c>
      <c r="J142" s="22"/>
      <c r="K142" s="5">
        <v>20</v>
      </c>
      <c r="L142" s="5">
        <f t="shared" si="28"/>
        <v>20</v>
      </c>
      <c r="M142" s="22"/>
      <c r="N142" s="5" t="s">
        <v>207</v>
      </c>
      <c r="O142" s="22"/>
      <c r="P142" s="5">
        <v>22</v>
      </c>
      <c r="Q142" s="5">
        <f t="shared" si="29"/>
        <v>22</v>
      </c>
      <c r="R142" s="2">
        <f t="shared" si="30"/>
        <v>21</v>
      </c>
      <c r="T142" s="7">
        <f t="shared" si="25"/>
        <v>1.156257628662063E-4</v>
      </c>
      <c r="V142" s="40">
        <f>claims!D142</f>
        <v>0</v>
      </c>
      <c r="W142" s="40">
        <f>claims!E142</f>
        <v>0</v>
      </c>
      <c r="X142" s="40">
        <f>claims!F142</f>
        <v>0</v>
      </c>
      <c r="Z142" s="7">
        <f t="shared" si="31"/>
        <v>0</v>
      </c>
      <c r="AA142" s="7">
        <f t="shared" si="32"/>
        <v>0</v>
      </c>
      <c r="AB142" s="7">
        <f t="shared" si="33"/>
        <v>0</v>
      </c>
      <c r="AD142" s="7">
        <f t="shared" si="34"/>
        <v>0</v>
      </c>
    </row>
    <row r="143" spans="1:35" outlineLevel="1">
      <c r="A143" s="1" t="s">
        <v>491</v>
      </c>
      <c r="B143" s="1" t="s">
        <v>559</v>
      </c>
      <c r="C143" s="22"/>
      <c r="D143" s="5" t="s">
        <v>489</v>
      </c>
      <c r="E143" s="22"/>
      <c r="F143" s="5">
        <v>23</v>
      </c>
      <c r="G143" s="5">
        <f t="shared" si="27"/>
        <v>23</v>
      </c>
      <c r="H143" s="22"/>
      <c r="I143" s="5" t="s">
        <v>489</v>
      </c>
      <c r="J143" s="22"/>
      <c r="K143" s="5">
        <v>24</v>
      </c>
      <c r="L143" s="5">
        <f t="shared" si="28"/>
        <v>24</v>
      </c>
      <c r="M143" s="22"/>
      <c r="N143" s="5" t="s">
        <v>489</v>
      </c>
      <c r="O143" s="22"/>
      <c r="P143" s="5">
        <v>23</v>
      </c>
      <c r="Q143" s="5">
        <f t="shared" si="29"/>
        <v>23</v>
      </c>
      <c r="R143" s="2">
        <f t="shared" si="30"/>
        <v>23.333333333333332</v>
      </c>
      <c r="T143" s="7">
        <f t="shared" si="25"/>
        <v>1.2847306985134033E-4</v>
      </c>
      <c r="V143" s="40">
        <f>claims!D143</f>
        <v>0</v>
      </c>
      <c r="W143" s="40">
        <f>claims!E143</f>
        <v>1</v>
      </c>
      <c r="X143" s="40">
        <f>claims!F143</f>
        <v>1</v>
      </c>
      <c r="Z143" s="7">
        <f t="shared" si="31"/>
        <v>0</v>
      </c>
      <c r="AA143" s="7">
        <f t="shared" si="32"/>
        <v>0.01</v>
      </c>
      <c r="AB143" s="7">
        <f t="shared" si="33"/>
        <v>0.01</v>
      </c>
      <c r="AD143" s="7">
        <f t="shared" si="34"/>
        <v>8.3333333333333332E-3</v>
      </c>
    </row>
    <row r="144" spans="1:35" outlineLevel="1">
      <c r="A144" s="48" t="s">
        <v>595</v>
      </c>
      <c r="B144" s="48" t="s">
        <v>596</v>
      </c>
      <c r="C144" s="22"/>
      <c r="D144" s="5" t="s">
        <v>597</v>
      </c>
      <c r="E144" s="22"/>
      <c r="F144" s="5">
        <v>4</v>
      </c>
      <c r="G144" s="5">
        <f t="shared" si="27"/>
        <v>4</v>
      </c>
      <c r="H144" s="22"/>
      <c r="I144" s="5" t="s">
        <v>597</v>
      </c>
      <c r="J144" s="22"/>
      <c r="K144" s="5">
        <v>5</v>
      </c>
      <c r="L144" s="5">
        <f t="shared" si="28"/>
        <v>5</v>
      </c>
      <c r="M144" s="22"/>
      <c r="N144" s="5" t="s">
        <v>597</v>
      </c>
      <c r="O144" s="22"/>
      <c r="P144" s="5">
        <v>5</v>
      </c>
      <c r="Q144" s="5">
        <f t="shared" si="29"/>
        <v>5</v>
      </c>
      <c r="R144" s="2">
        <f t="shared" si="30"/>
        <v>4.833333333333333</v>
      </c>
      <c r="T144" s="7">
        <f t="shared" si="25"/>
        <v>2.6612278754920499E-5</v>
      </c>
      <c r="V144" s="40">
        <f>claims!D144</f>
        <v>0</v>
      </c>
      <c r="W144" s="40">
        <f>claims!E144</f>
        <v>0</v>
      </c>
      <c r="X144" s="40">
        <f>claims!F144</f>
        <v>0</v>
      </c>
      <c r="Z144" s="7">
        <f t="shared" si="31"/>
        <v>0</v>
      </c>
      <c r="AA144" s="7">
        <f t="shared" si="32"/>
        <v>0</v>
      </c>
      <c r="AB144" s="7">
        <f t="shared" si="33"/>
        <v>0</v>
      </c>
      <c r="AD144" s="7">
        <f t="shared" si="34"/>
        <v>0</v>
      </c>
    </row>
    <row r="145" spans="1:30" outlineLevel="1">
      <c r="A145" s="1" t="s">
        <v>208</v>
      </c>
      <c r="B145" s="1" t="s">
        <v>209</v>
      </c>
      <c r="C145" s="22"/>
      <c r="D145" s="5" t="s">
        <v>209</v>
      </c>
      <c r="E145" s="22"/>
      <c r="F145" s="5">
        <v>23</v>
      </c>
      <c r="G145" s="5">
        <f t="shared" si="27"/>
        <v>23</v>
      </c>
      <c r="H145" s="22"/>
      <c r="I145" s="5" t="s">
        <v>209</v>
      </c>
      <c r="J145" s="22"/>
      <c r="K145" s="5">
        <v>24</v>
      </c>
      <c r="L145" s="5">
        <f t="shared" si="28"/>
        <v>24</v>
      </c>
      <c r="M145" s="22"/>
      <c r="N145" s="5" t="s">
        <v>209</v>
      </c>
      <c r="O145" s="22"/>
      <c r="P145" s="5">
        <v>24</v>
      </c>
      <c r="Q145" s="5">
        <f t="shared" si="29"/>
        <v>24</v>
      </c>
      <c r="R145" s="2">
        <f t="shared" si="30"/>
        <v>23.833333333333332</v>
      </c>
      <c r="T145" s="7">
        <f t="shared" si="25"/>
        <v>1.3122606420529762E-4</v>
      </c>
      <c r="V145" s="40">
        <f>claims!D145</f>
        <v>0</v>
      </c>
      <c r="W145" s="40">
        <f>claims!E145</f>
        <v>0</v>
      </c>
      <c r="X145" s="40">
        <f>claims!F145</f>
        <v>0</v>
      </c>
      <c r="Z145" s="7">
        <f t="shared" si="31"/>
        <v>0</v>
      </c>
      <c r="AA145" s="7">
        <f t="shared" si="32"/>
        <v>0</v>
      </c>
      <c r="AB145" s="7">
        <f t="shared" si="33"/>
        <v>0</v>
      </c>
      <c r="AD145" s="7">
        <f t="shared" si="34"/>
        <v>0</v>
      </c>
    </row>
    <row r="146" spans="1:30" outlineLevel="1">
      <c r="A146" s="1" t="s">
        <v>210</v>
      </c>
      <c r="B146" s="1" t="s">
        <v>211</v>
      </c>
      <c r="C146" s="22"/>
      <c r="D146" s="5" t="s">
        <v>211</v>
      </c>
      <c r="E146" s="22"/>
      <c r="F146" s="5">
        <v>2</v>
      </c>
      <c r="G146" s="5">
        <f t="shared" si="27"/>
        <v>2</v>
      </c>
      <c r="H146" s="22"/>
      <c r="I146" s="5" t="s">
        <v>211</v>
      </c>
      <c r="J146" s="22"/>
      <c r="K146" s="5">
        <v>2</v>
      </c>
      <c r="L146" s="5">
        <f t="shared" si="28"/>
        <v>2</v>
      </c>
      <c r="M146" s="22"/>
      <c r="N146" s="5" t="s">
        <v>211</v>
      </c>
      <c r="O146" s="22"/>
      <c r="P146" s="5">
        <v>2</v>
      </c>
      <c r="Q146" s="5">
        <f t="shared" si="29"/>
        <v>2</v>
      </c>
      <c r="R146" s="2">
        <f t="shared" si="30"/>
        <v>2</v>
      </c>
      <c r="T146" s="7">
        <f t="shared" si="25"/>
        <v>1.1011977415829171E-5</v>
      </c>
      <c r="V146" s="40">
        <f>claims!D146</f>
        <v>0</v>
      </c>
      <c r="W146" s="40">
        <f>claims!E146</f>
        <v>0</v>
      </c>
      <c r="X146" s="40">
        <f>claims!F146</f>
        <v>0</v>
      </c>
      <c r="Z146" s="7">
        <f t="shared" si="31"/>
        <v>0</v>
      </c>
      <c r="AA146" s="7">
        <f t="shared" si="32"/>
        <v>0</v>
      </c>
      <c r="AB146" s="7">
        <f t="shared" si="33"/>
        <v>0</v>
      </c>
      <c r="AD146" s="7">
        <f t="shared" si="34"/>
        <v>0</v>
      </c>
    </row>
    <row r="147" spans="1:30" outlineLevel="1">
      <c r="A147" s="1" t="s">
        <v>212</v>
      </c>
      <c r="B147" s="1" t="s">
        <v>213</v>
      </c>
      <c r="C147" s="22"/>
      <c r="D147" s="5" t="s">
        <v>213</v>
      </c>
      <c r="E147" s="22"/>
      <c r="F147" s="5">
        <v>63</v>
      </c>
      <c r="G147" s="5">
        <f t="shared" si="27"/>
        <v>63</v>
      </c>
      <c r="H147" s="22"/>
      <c r="I147" s="5" t="s">
        <v>213</v>
      </c>
      <c r="J147" s="22"/>
      <c r="K147" s="5">
        <v>65</v>
      </c>
      <c r="L147" s="5">
        <f t="shared" si="28"/>
        <v>65</v>
      </c>
      <c r="M147" s="22"/>
      <c r="N147" s="5" t="s">
        <v>213</v>
      </c>
      <c r="O147" s="22"/>
      <c r="P147" s="5">
        <v>64</v>
      </c>
      <c r="Q147" s="5">
        <f t="shared" si="29"/>
        <v>64</v>
      </c>
      <c r="R147" s="2">
        <f t="shared" si="30"/>
        <v>64.166666666666671</v>
      </c>
      <c r="T147" s="7">
        <f t="shared" si="25"/>
        <v>3.5330094209118596E-4</v>
      </c>
      <c r="V147" s="40">
        <f>claims!D147</f>
        <v>2</v>
      </c>
      <c r="W147" s="40">
        <f>claims!E147</f>
        <v>2</v>
      </c>
      <c r="X147" s="40">
        <f>claims!F147</f>
        <v>1</v>
      </c>
      <c r="Z147" s="7">
        <f t="shared" si="31"/>
        <v>0.02</v>
      </c>
      <c r="AA147" s="7">
        <f t="shared" si="32"/>
        <v>0.02</v>
      </c>
      <c r="AB147" s="7">
        <f t="shared" si="33"/>
        <v>0.01</v>
      </c>
      <c r="AD147" s="7">
        <f t="shared" si="34"/>
        <v>1.4999999999999999E-2</v>
      </c>
    </row>
    <row r="148" spans="1:30" outlineLevel="1">
      <c r="A148" s="1" t="s">
        <v>214</v>
      </c>
      <c r="B148" s="1" t="s">
        <v>215</v>
      </c>
      <c r="C148" s="22"/>
      <c r="D148" s="5" t="s">
        <v>215</v>
      </c>
      <c r="E148" s="22"/>
      <c r="F148" s="5">
        <v>402.5</v>
      </c>
      <c r="G148" s="5">
        <f t="shared" si="27"/>
        <v>402.5</v>
      </c>
      <c r="H148" s="22"/>
      <c r="I148" s="5" t="s">
        <v>215</v>
      </c>
      <c r="J148" s="22"/>
      <c r="K148" s="5">
        <v>409</v>
      </c>
      <c r="L148" s="5">
        <f t="shared" si="28"/>
        <v>409</v>
      </c>
      <c r="M148" s="22"/>
      <c r="N148" s="5" t="s">
        <v>215</v>
      </c>
      <c r="O148" s="22"/>
      <c r="P148" s="5">
        <v>417</v>
      </c>
      <c r="Q148" s="5">
        <f t="shared" si="29"/>
        <v>417</v>
      </c>
      <c r="R148" s="2">
        <f t="shared" si="30"/>
        <v>411.91666666666669</v>
      </c>
      <c r="T148" s="7">
        <f t="shared" si="25"/>
        <v>2.2680085152684834E-3</v>
      </c>
      <c r="V148" s="40">
        <f>claims!D148</f>
        <v>4</v>
      </c>
      <c r="W148" s="40">
        <f>claims!E148</f>
        <v>12</v>
      </c>
      <c r="X148" s="40">
        <f>claims!F148</f>
        <v>6</v>
      </c>
      <c r="Z148" s="7">
        <f t="shared" si="31"/>
        <v>9.9378881987577643E-3</v>
      </c>
      <c r="AA148" s="7">
        <f t="shared" si="32"/>
        <v>2.9339853300733496E-2</v>
      </c>
      <c r="AB148" s="7">
        <f t="shared" si="33"/>
        <v>1.4388489208633094E-2</v>
      </c>
      <c r="AD148" s="7">
        <f t="shared" si="34"/>
        <v>1.8630510404354008E-2</v>
      </c>
    </row>
    <row r="149" spans="1:30" outlineLevel="1">
      <c r="A149" s="1" t="s">
        <v>216</v>
      </c>
      <c r="B149" s="1" t="s">
        <v>217</v>
      </c>
      <c r="C149" s="22"/>
      <c r="D149" s="5" t="s">
        <v>217</v>
      </c>
      <c r="E149" s="22"/>
      <c r="F149" s="5">
        <v>80</v>
      </c>
      <c r="G149" s="5">
        <f t="shared" si="27"/>
        <v>80</v>
      </c>
      <c r="H149" s="22"/>
      <c r="I149" s="5" t="s">
        <v>217</v>
      </c>
      <c r="J149" s="22"/>
      <c r="K149" s="5">
        <v>79</v>
      </c>
      <c r="L149" s="5">
        <f t="shared" si="28"/>
        <v>79</v>
      </c>
      <c r="M149" s="22"/>
      <c r="N149" s="5" t="s">
        <v>217</v>
      </c>
      <c r="O149" s="22"/>
      <c r="P149" s="5">
        <v>81</v>
      </c>
      <c r="Q149" s="5">
        <f t="shared" si="29"/>
        <v>81</v>
      </c>
      <c r="R149" s="2">
        <f t="shared" si="30"/>
        <v>80.166666666666671</v>
      </c>
      <c r="T149" s="7">
        <f t="shared" si="25"/>
        <v>4.4139676141781935E-4</v>
      </c>
      <c r="V149" s="40">
        <f>claims!D149</f>
        <v>0</v>
      </c>
      <c r="W149" s="40">
        <f>claims!E149</f>
        <v>0</v>
      </c>
      <c r="X149" s="40">
        <f>claims!F149</f>
        <v>0</v>
      </c>
      <c r="Z149" s="7">
        <f t="shared" si="31"/>
        <v>0</v>
      </c>
      <c r="AA149" s="7">
        <f t="shared" si="32"/>
        <v>0</v>
      </c>
      <c r="AB149" s="7">
        <f t="shared" si="33"/>
        <v>0</v>
      </c>
      <c r="AD149" s="7">
        <f t="shared" si="34"/>
        <v>0</v>
      </c>
    </row>
    <row r="150" spans="1:30" outlineLevel="1">
      <c r="A150" s="1" t="s">
        <v>218</v>
      </c>
      <c r="B150" s="1" t="s">
        <v>219</v>
      </c>
      <c r="C150" s="22"/>
      <c r="D150" s="5" t="s">
        <v>219</v>
      </c>
      <c r="E150" s="22"/>
      <c r="F150" s="5">
        <v>73.5</v>
      </c>
      <c r="G150" s="5">
        <f t="shared" si="27"/>
        <v>73.5</v>
      </c>
      <c r="H150" s="22"/>
      <c r="I150" s="5" t="s">
        <v>219</v>
      </c>
      <c r="J150" s="22"/>
      <c r="K150" s="5">
        <v>78</v>
      </c>
      <c r="L150" s="5">
        <f t="shared" si="28"/>
        <v>78</v>
      </c>
      <c r="M150" s="22"/>
      <c r="N150" s="5" t="s">
        <v>219</v>
      </c>
      <c r="O150" s="22"/>
      <c r="P150" s="5">
        <v>77</v>
      </c>
      <c r="Q150" s="5">
        <f t="shared" si="29"/>
        <v>77</v>
      </c>
      <c r="R150" s="2">
        <f t="shared" si="30"/>
        <v>76.75</v>
      </c>
      <c r="T150" s="7">
        <f t="shared" si="25"/>
        <v>4.2258463333244448E-4</v>
      </c>
      <c r="V150" s="40">
        <f>claims!D150</f>
        <v>0</v>
      </c>
      <c r="W150" s="40">
        <f>claims!E150</f>
        <v>0</v>
      </c>
      <c r="X150" s="40">
        <f>claims!F150</f>
        <v>0</v>
      </c>
      <c r="Z150" s="7">
        <f t="shared" si="31"/>
        <v>0</v>
      </c>
      <c r="AA150" s="7">
        <f t="shared" si="32"/>
        <v>0</v>
      </c>
      <c r="AB150" s="7">
        <f t="shared" si="33"/>
        <v>0</v>
      </c>
      <c r="AD150" s="7">
        <f t="shared" si="34"/>
        <v>0</v>
      </c>
    </row>
    <row r="151" spans="1:30" outlineLevel="1">
      <c r="A151" s="1" t="s">
        <v>220</v>
      </c>
      <c r="B151" s="1" t="s">
        <v>221</v>
      </c>
      <c r="C151" s="22"/>
      <c r="D151" s="5" t="s">
        <v>221</v>
      </c>
      <c r="E151" s="22"/>
      <c r="F151" s="5">
        <v>43.5</v>
      </c>
      <c r="G151" s="5">
        <f t="shared" si="27"/>
        <v>43.5</v>
      </c>
      <c r="H151" s="22"/>
      <c r="I151" s="5" t="s">
        <v>221</v>
      </c>
      <c r="J151" s="22"/>
      <c r="K151" s="5">
        <v>46</v>
      </c>
      <c r="L151" s="5">
        <f t="shared" si="28"/>
        <v>46</v>
      </c>
      <c r="M151" s="22"/>
      <c r="N151" s="5" t="s">
        <v>221</v>
      </c>
      <c r="O151" s="22"/>
      <c r="P151" s="5">
        <v>50.5</v>
      </c>
      <c r="Q151" s="5">
        <f t="shared" si="29"/>
        <v>50.5</v>
      </c>
      <c r="R151" s="2">
        <f t="shared" si="30"/>
        <v>47.833333333333336</v>
      </c>
      <c r="T151" s="7">
        <f t="shared" si="25"/>
        <v>2.6336979319524772E-4</v>
      </c>
      <c r="V151" s="40">
        <f>claims!D151</f>
        <v>0</v>
      </c>
      <c r="W151" s="40">
        <f>claims!E151</f>
        <v>0</v>
      </c>
      <c r="X151" s="40">
        <f>claims!F151</f>
        <v>0</v>
      </c>
      <c r="Z151" s="7">
        <f t="shared" si="31"/>
        <v>0</v>
      </c>
      <c r="AA151" s="7">
        <f t="shared" si="32"/>
        <v>0</v>
      </c>
      <c r="AB151" s="7">
        <f t="shared" si="33"/>
        <v>0</v>
      </c>
      <c r="AD151" s="7">
        <f t="shared" si="34"/>
        <v>0</v>
      </c>
    </row>
    <row r="152" spans="1:30" outlineLevel="1">
      <c r="A152" s="1" t="s">
        <v>222</v>
      </c>
      <c r="B152" s="1" t="s">
        <v>223</v>
      </c>
      <c r="C152" s="22"/>
      <c r="D152" s="5" t="s">
        <v>223</v>
      </c>
      <c r="E152" s="22"/>
      <c r="F152" s="5">
        <v>9</v>
      </c>
      <c r="G152" s="5">
        <f t="shared" si="27"/>
        <v>9</v>
      </c>
      <c r="H152" s="22"/>
      <c r="I152" s="5" t="s">
        <v>223</v>
      </c>
      <c r="J152" s="22"/>
      <c r="K152" s="5">
        <v>10</v>
      </c>
      <c r="L152" s="5">
        <f t="shared" si="28"/>
        <v>10</v>
      </c>
      <c r="M152" s="22"/>
      <c r="N152" s="5" t="s">
        <v>223</v>
      </c>
      <c r="O152" s="22"/>
      <c r="P152" s="5">
        <v>10</v>
      </c>
      <c r="Q152" s="5">
        <f t="shared" si="29"/>
        <v>10</v>
      </c>
      <c r="R152" s="2">
        <f t="shared" si="30"/>
        <v>9.8333333333333339</v>
      </c>
      <c r="T152" s="7">
        <f t="shared" si="25"/>
        <v>5.4142222294493432E-5</v>
      </c>
      <c r="V152" s="40">
        <f>claims!D152</f>
        <v>0</v>
      </c>
      <c r="W152" s="40">
        <f>claims!E152</f>
        <v>0</v>
      </c>
      <c r="X152" s="40">
        <f>claims!F152</f>
        <v>0</v>
      </c>
      <c r="Z152" s="7">
        <f t="shared" si="31"/>
        <v>0</v>
      </c>
      <c r="AA152" s="7">
        <f t="shared" si="32"/>
        <v>0</v>
      </c>
      <c r="AB152" s="7">
        <f t="shared" si="33"/>
        <v>0</v>
      </c>
      <c r="AD152" s="7">
        <f t="shared" si="34"/>
        <v>0</v>
      </c>
    </row>
    <row r="153" spans="1:30" outlineLevel="1">
      <c r="A153" s="1" t="s">
        <v>224</v>
      </c>
      <c r="B153" s="1" t="s">
        <v>225</v>
      </c>
      <c r="C153" s="22"/>
      <c r="D153" s="5" t="s">
        <v>225</v>
      </c>
      <c r="E153" s="22"/>
      <c r="F153" s="5">
        <v>43.5</v>
      </c>
      <c r="G153" s="5">
        <f t="shared" si="27"/>
        <v>43.5</v>
      </c>
      <c r="H153" s="22"/>
      <c r="I153" s="5" t="s">
        <v>225</v>
      </c>
      <c r="J153" s="22"/>
      <c r="K153" s="5">
        <v>41.5</v>
      </c>
      <c r="L153" s="5">
        <f t="shared" si="28"/>
        <v>41.5</v>
      </c>
      <c r="M153" s="22"/>
      <c r="N153" s="5" t="s">
        <v>225</v>
      </c>
      <c r="O153" s="22"/>
      <c r="P153" s="5">
        <v>43.5</v>
      </c>
      <c r="Q153" s="5">
        <f t="shared" si="29"/>
        <v>43.5</v>
      </c>
      <c r="R153" s="2">
        <f t="shared" si="30"/>
        <v>42.833333333333336</v>
      </c>
      <c r="T153" s="7">
        <f t="shared" si="25"/>
        <v>2.3583984965567479E-4</v>
      </c>
      <c r="V153" s="40">
        <f>claims!D153</f>
        <v>0</v>
      </c>
      <c r="W153" s="40">
        <f>claims!E153</f>
        <v>0</v>
      </c>
      <c r="X153" s="40">
        <f>claims!F153</f>
        <v>0</v>
      </c>
      <c r="Z153" s="7">
        <f t="shared" si="31"/>
        <v>0</v>
      </c>
      <c r="AA153" s="7">
        <f t="shared" si="32"/>
        <v>0</v>
      </c>
      <c r="AB153" s="7">
        <f t="shared" si="33"/>
        <v>0</v>
      </c>
      <c r="AD153" s="7">
        <f t="shared" si="34"/>
        <v>0</v>
      </c>
    </row>
    <row r="154" spans="1:30" outlineLevel="1">
      <c r="A154" s="1" t="s">
        <v>226</v>
      </c>
      <c r="B154" s="1" t="s">
        <v>227</v>
      </c>
      <c r="C154" s="22"/>
      <c r="D154" s="5" t="s">
        <v>227</v>
      </c>
      <c r="E154" s="22"/>
      <c r="F154" s="5">
        <v>93</v>
      </c>
      <c r="G154" s="5">
        <f t="shared" si="27"/>
        <v>93</v>
      </c>
      <c r="H154" s="22"/>
      <c r="I154" s="5" t="s">
        <v>227</v>
      </c>
      <c r="J154" s="22"/>
      <c r="K154" s="5">
        <v>101</v>
      </c>
      <c r="L154" s="5">
        <f t="shared" si="28"/>
        <v>101</v>
      </c>
      <c r="M154" s="22"/>
      <c r="N154" s="5" t="s">
        <v>227</v>
      </c>
      <c r="O154" s="22"/>
      <c r="P154" s="5">
        <v>107</v>
      </c>
      <c r="Q154" s="5">
        <f t="shared" si="29"/>
        <v>107</v>
      </c>
      <c r="R154" s="2">
        <f t="shared" si="30"/>
        <v>102.66666666666667</v>
      </c>
      <c r="T154" s="7">
        <f t="shared" si="25"/>
        <v>5.6528150734589755E-4</v>
      </c>
      <c r="V154" s="40">
        <f>claims!D154</f>
        <v>1</v>
      </c>
      <c r="W154" s="40">
        <f>claims!E154</f>
        <v>2</v>
      </c>
      <c r="X154" s="40">
        <f>claims!F154</f>
        <v>1</v>
      </c>
      <c r="Z154" s="7">
        <f t="shared" si="31"/>
        <v>0.01</v>
      </c>
      <c r="AA154" s="7">
        <f t="shared" si="32"/>
        <v>1.9801980198019802E-2</v>
      </c>
      <c r="AB154" s="7">
        <f t="shared" si="33"/>
        <v>9.3457943925233638E-3</v>
      </c>
      <c r="AD154" s="7">
        <f t="shared" si="34"/>
        <v>1.2940223928934949E-2</v>
      </c>
    </row>
    <row r="155" spans="1:30" outlineLevel="1">
      <c r="A155" s="1" t="s">
        <v>228</v>
      </c>
      <c r="B155" s="1" t="s">
        <v>229</v>
      </c>
      <c r="C155" s="22"/>
      <c r="D155" s="5" t="s">
        <v>229</v>
      </c>
      <c r="E155" s="22"/>
      <c r="F155" s="5">
        <v>112</v>
      </c>
      <c r="G155" s="5">
        <f t="shared" si="27"/>
        <v>112</v>
      </c>
      <c r="H155" s="22"/>
      <c r="I155" s="5" t="s">
        <v>229</v>
      </c>
      <c r="J155" s="22"/>
      <c r="K155" s="5">
        <v>111</v>
      </c>
      <c r="L155" s="5">
        <f t="shared" si="28"/>
        <v>111</v>
      </c>
      <c r="M155" s="22"/>
      <c r="N155" s="5" t="s">
        <v>229</v>
      </c>
      <c r="O155" s="22"/>
      <c r="P155" s="5">
        <v>118</v>
      </c>
      <c r="Q155" s="5">
        <f t="shared" si="29"/>
        <v>118</v>
      </c>
      <c r="R155" s="2">
        <f t="shared" si="30"/>
        <v>114.66666666666667</v>
      </c>
      <c r="T155" s="7">
        <f t="shared" si="25"/>
        <v>6.3135337184087252E-4</v>
      </c>
      <c r="V155" s="40">
        <f>claims!D155</f>
        <v>1</v>
      </c>
      <c r="W155" s="40">
        <f>claims!E155</f>
        <v>4</v>
      </c>
      <c r="X155" s="40">
        <f>claims!F155</f>
        <v>0</v>
      </c>
      <c r="Z155" s="7">
        <f t="shared" si="31"/>
        <v>8.9285714285714281E-3</v>
      </c>
      <c r="AA155" s="7">
        <f t="shared" si="32"/>
        <v>3.6036036036036036E-2</v>
      </c>
      <c r="AB155" s="7">
        <f t="shared" si="33"/>
        <v>0</v>
      </c>
      <c r="AD155" s="7">
        <f t="shared" si="34"/>
        <v>1.350010725010725E-2</v>
      </c>
    </row>
    <row r="156" spans="1:30" outlineLevel="1">
      <c r="A156" s="1" t="s">
        <v>230</v>
      </c>
      <c r="B156" s="1" t="s">
        <v>231</v>
      </c>
      <c r="C156" s="22"/>
      <c r="D156" s="5" t="s">
        <v>231</v>
      </c>
      <c r="E156" s="22"/>
      <c r="F156" s="5">
        <v>12</v>
      </c>
      <c r="G156" s="5">
        <f t="shared" si="27"/>
        <v>12</v>
      </c>
      <c r="H156" s="22"/>
      <c r="I156" s="5" t="s">
        <v>231</v>
      </c>
      <c r="J156" s="22"/>
      <c r="K156" s="5">
        <v>12</v>
      </c>
      <c r="L156" s="5">
        <f t="shared" si="28"/>
        <v>12</v>
      </c>
      <c r="M156" s="22"/>
      <c r="N156" s="5" t="s">
        <v>231</v>
      </c>
      <c r="O156" s="22"/>
      <c r="P156" s="5">
        <v>12.5</v>
      </c>
      <c r="Q156" s="5">
        <f t="shared" si="29"/>
        <v>12.5</v>
      </c>
      <c r="R156" s="2">
        <f t="shared" si="30"/>
        <v>12.25</v>
      </c>
      <c r="T156" s="7">
        <f t="shared" si="25"/>
        <v>6.7448361671953679E-5</v>
      </c>
      <c r="V156" s="40">
        <f>claims!D156</f>
        <v>0</v>
      </c>
      <c r="W156" s="40">
        <f>claims!E156</f>
        <v>0</v>
      </c>
      <c r="X156" s="40">
        <f>claims!F156</f>
        <v>1</v>
      </c>
      <c r="Z156" s="7">
        <f t="shared" si="31"/>
        <v>0</v>
      </c>
      <c r="AA156" s="7">
        <f t="shared" si="32"/>
        <v>0</v>
      </c>
      <c r="AB156" s="7">
        <f t="shared" si="33"/>
        <v>0.01</v>
      </c>
      <c r="AD156" s="7">
        <f t="shared" si="34"/>
        <v>5.0000000000000001E-3</v>
      </c>
    </row>
    <row r="157" spans="1:30" outlineLevel="1">
      <c r="A157" s="1" t="s">
        <v>571</v>
      </c>
      <c r="B157" s="1" t="s">
        <v>572</v>
      </c>
      <c r="C157" s="22"/>
      <c r="D157" s="5" t="s">
        <v>572</v>
      </c>
      <c r="E157" s="22"/>
      <c r="F157" s="5">
        <v>8</v>
      </c>
      <c r="G157" s="5">
        <f t="shared" si="27"/>
        <v>8</v>
      </c>
      <c r="H157" s="22"/>
      <c r="I157" s="5" t="s">
        <v>572</v>
      </c>
      <c r="J157" s="22"/>
      <c r="K157" s="5">
        <v>8</v>
      </c>
      <c r="L157" s="5">
        <f t="shared" si="28"/>
        <v>8</v>
      </c>
      <c r="M157" s="22"/>
      <c r="N157" s="5" t="s">
        <v>572</v>
      </c>
      <c r="O157" s="22"/>
      <c r="P157" s="5">
        <v>9</v>
      </c>
      <c r="Q157" s="5">
        <f t="shared" si="29"/>
        <v>9</v>
      </c>
      <c r="R157" s="2">
        <f t="shared" si="30"/>
        <v>8.5</v>
      </c>
      <c r="T157" s="7">
        <f t="shared" si="25"/>
        <v>4.6800904017273982E-5</v>
      </c>
      <c r="V157" s="40">
        <f>claims!D157</f>
        <v>0</v>
      </c>
      <c r="W157" s="40">
        <f>claims!E157</f>
        <v>0</v>
      </c>
      <c r="X157" s="40">
        <f>claims!F157</f>
        <v>0</v>
      </c>
      <c r="Z157" s="7">
        <f t="shared" si="31"/>
        <v>0</v>
      </c>
      <c r="AA157" s="7">
        <f t="shared" si="32"/>
        <v>0</v>
      </c>
      <c r="AB157" s="7">
        <f t="shared" si="33"/>
        <v>0</v>
      </c>
      <c r="AD157" s="7">
        <f t="shared" si="34"/>
        <v>0</v>
      </c>
    </row>
    <row r="158" spans="1:30" outlineLevel="1">
      <c r="A158" s="1" t="s">
        <v>232</v>
      </c>
      <c r="B158" s="1" t="s">
        <v>233</v>
      </c>
      <c r="C158" s="22"/>
      <c r="D158" s="5" t="s">
        <v>233</v>
      </c>
      <c r="E158" s="22"/>
      <c r="F158" s="5">
        <v>12</v>
      </c>
      <c r="G158" s="5">
        <f t="shared" si="27"/>
        <v>12</v>
      </c>
      <c r="H158" s="22"/>
      <c r="I158" s="5" t="s">
        <v>233</v>
      </c>
      <c r="J158" s="22"/>
      <c r="K158" s="5">
        <v>12</v>
      </c>
      <c r="L158" s="5">
        <f t="shared" si="28"/>
        <v>12</v>
      </c>
      <c r="M158" s="22"/>
      <c r="N158" s="5" t="s">
        <v>233</v>
      </c>
      <c r="O158" s="22"/>
      <c r="P158" s="5">
        <v>13</v>
      </c>
      <c r="Q158" s="5">
        <f t="shared" si="29"/>
        <v>13</v>
      </c>
      <c r="R158" s="2">
        <f t="shared" si="30"/>
        <v>12.5</v>
      </c>
      <c r="T158" s="7">
        <f t="shared" si="25"/>
        <v>6.8824858848932325E-5</v>
      </c>
      <c r="V158" s="40">
        <f>claims!D158</f>
        <v>0</v>
      </c>
      <c r="W158" s="40">
        <f>claims!E158</f>
        <v>0</v>
      </c>
      <c r="X158" s="40">
        <f>claims!F158</f>
        <v>0</v>
      </c>
      <c r="Z158" s="7">
        <f t="shared" si="31"/>
        <v>0</v>
      </c>
      <c r="AA158" s="7">
        <f t="shared" si="32"/>
        <v>0</v>
      </c>
      <c r="AB158" s="7">
        <f t="shared" si="33"/>
        <v>0</v>
      </c>
      <c r="AD158" s="7">
        <f t="shared" si="34"/>
        <v>0</v>
      </c>
    </row>
    <row r="159" spans="1:30" outlineLevel="1">
      <c r="A159" s="1" t="s">
        <v>234</v>
      </c>
      <c r="B159" s="1" t="s">
        <v>235</v>
      </c>
      <c r="C159" s="22"/>
      <c r="D159" s="5" t="s">
        <v>235</v>
      </c>
      <c r="E159" s="22"/>
      <c r="F159" s="5">
        <v>4</v>
      </c>
      <c r="G159" s="5">
        <f t="shared" si="27"/>
        <v>4</v>
      </c>
      <c r="H159" s="22"/>
      <c r="I159" s="5" t="s">
        <v>235</v>
      </c>
      <c r="J159" s="22"/>
      <c r="K159" s="5">
        <v>4</v>
      </c>
      <c r="L159" s="5">
        <f t="shared" si="28"/>
        <v>4</v>
      </c>
      <c r="M159" s="22"/>
      <c r="N159" s="5" t="s">
        <v>235</v>
      </c>
      <c r="O159" s="22"/>
      <c r="P159" s="5">
        <v>4</v>
      </c>
      <c r="Q159" s="5">
        <f t="shared" si="29"/>
        <v>4</v>
      </c>
      <c r="R159" s="2">
        <f t="shared" si="30"/>
        <v>4</v>
      </c>
      <c r="T159" s="7">
        <f t="shared" si="25"/>
        <v>2.2023954831658342E-5</v>
      </c>
      <c r="V159" s="40">
        <f>claims!D159</f>
        <v>0</v>
      </c>
      <c r="W159" s="40">
        <f>claims!E159</f>
        <v>0</v>
      </c>
      <c r="X159" s="40">
        <f>claims!F159</f>
        <v>0</v>
      </c>
      <c r="Z159" s="7">
        <f t="shared" si="31"/>
        <v>0</v>
      </c>
      <c r="AA159" s="7">
        <f t="shared" si="32"/>
        <v>0</v>
      </c>
      <c r="AB159" s="7">
        <f t="shared" si="33"/>
        <v>0</v>
      </c>
      <c r="AD159" s="7">
        <f t="shared" si="34"/>
        <v>0</v>
      </c>
    </row>
    <row r="160" spans="1:30" outlineLevel="1">
      <c r="A160" s="1" t="s">
        <v>236</v>
      </c>
      <c r="B160" s="1" t="s">
        <v>237</v>
      </c>
      <c r="C160" s="22"/>
      <c r="D160" s="5" t="s">
        <v>237</v>
      </c>
      <c r="E160" s="22"/>
      <c r="F160" s="5">
        <v>104</v>
      </c>
      <c r="G160" s="5">
        <f t="shared" si="27"/>
        <v>104</v>
      </c>
      <c r="H160" s="22"/>
      <c r="I160" s="5" t="s">
        <v>237</v>
      </c>
      <c r="J160" s="22"/>
      <c r="K160" s="5">
        <v>108</v>
      </c>
      <c r="L160" s="5">
        <f t="shared" si="28"/>
        <v>108</v>
      </c>
      <c r="M160" s="22"/>
      <c r="N160" s="5" t="s">
        <v>237</v>
      </c>
      <c r="O160" s="22"/>
      <c r="P160" s="5">
        <v>107</v>
      </c>
      <c r="Q160" s="5">
        <f t="shared" si="29"/>
        <v>107</v>
      </c>
      <c r="R160" s="2">
        <f t="shared" si="30"/>
        <v>106.83333333333333</v>
      </c>
      <c r="T160" s="7">
        <f t="shared" si="25"/>
        <v>5.8822312696220824E-4</v>
      </c>
      <c r="V160" s="40">
        <f>claims!D160</f>
        <v>1</v>
      </c>
      <c r="W160" s="40">
        <f>claims!E160</f>
        <v>0</v>
      </c>
      <c r="X160" s="40">
        <f>claims!F160</f>
        <v>1</v>
      </c>
      <c r="Z160" s="7">
        <f t="shared" si="31"/>
        <v>9.6153846153846159E-3</v>
      </c>
      <c r="AA160" s="7">
        <f t="shared" si="32"/>
        <v>0</v>
      </c>
      <c r="AB160" s="7">
        <f t="shared" si="33"/>
        <v>9.3457943925233638E-3</v>
      </c>
      <c r="AD160" s="7">
        <f t="shared" si="34"/>
        <v>6.275461298825784E-3</v>
      </c>
    </row>
    <row r="161" spans="1:30" outlineLevel="1">
      <c r="A161" s="1" t="s">
        <v>238</v>
      </c>
      <c r="B161" s="1" t="s">
        <v>239</v>
      </c>
      <c r="C161" s="22"/>
      <c r="D161" s="5" t="s">
        <v>239</v>
      </c>
      <c r="E161" s="22"/>
      <c r="F161" s="5">
        <v>8</v>
      </c>
      <c r="G161" s="5">
        <f t="shared" si="27"/>
        <v>8</v>
      </c>
      <c r="H161" s="22"/>
      <c r="I161" s="5" t="s">
        <v>239</v>
      </c>
      <c r="J161" s="22"/>
      <c r="K161" s="5">
        <v>7</v>
      </c>
      <c r="L161" s="5">
        <f t="shared" si="28"/>
        <v>7</v>
      </c>
      <c r="M161" s="22"/>
      <c r="N161" s="5" t="s">
        <v>239</v>
      </c>
      <c r="O161" s="22"/>
      <c r="P161" s="5">
        <v>7</v>
      </c>
      <c r="Q161" s="5">
        <f t="shared" si="29"/>
        <v>7</v>
      </c>
      <c r="R161" s="2">
        <f t="shared" si="30"/>
        <v>7.166666666666667</v>
      </c>
      <c r="T161" s="7">
        <f t="shared" si="25"/>
        <v>3.9459585740054532E-5</v>
      </c>
      <c r="V161" s="40">
        <f>claims!D161</f>
        <v>0</v>
      </c>
      <c r="W161" s="40">
        <f>claims!E161</f>
        <v>0</v>
      </c>
      <c r="X161" s="40">
        <f>claims!F161</f>
        <v>0</v>
      </c>
      <c r="Z161" s="7">
        <f t="shared" si="31"/>
        <v>0</v>
      </c>
      <c r="AA161" s="7">
        <f t="shared" si="32"/>
        <v>0</v>
      </c>
      <c r="AB161" s="7">
        <f t="shared" si="33"/>
        <v>0</v>
      </c>
      <c r="AD161" s="7">
        <f t="shared" si="34"/>
        <v>0</v>
      </c>
    </row>
    <row r="162" spans="1:30" outlineLevel="1">
      <c r="A162" s="1" t="s">
        <v>240</v>
      </c>
      <c r="B162" s="1" t="s">
        <v>241</v>
      </c>
      <c r="C162" s="22"/>
      <c r="D162" s="5" t="s">
        <v>241</v>
      </c>
      <c r="E162" s="22"/>
      <c r="F162" s="5">
        <v>8</v>
      </c>
      <c r="G162" s="5">
        <f t="shared" si="27"/>
        <v>8</v>
      </c>
      <c r="H162" s="22"/>
      <c r="I162" s="5" t="s">
        <v>241</v>
      </c>
      <c r="J162" s="22"/>
      <c r="K162" s="5">
        <v>8</v>
      </c>
      <c r="L162" s="5">
        <f t="shared" si="28"/>
        <v>8</v>
      </c>
      <c r="M162" s="22"/>
      <c r="N162" s="5" t="s">
        <v>241</v>
      </c>
      <c r="O162" s="22"/>
      <c r="P162" s="5">
        <v>7</v>
      </c>
      <c r="Q162" s="5">
        <f t="shared" si="29"/>
        <v>7</v>
      </c>
      <c r="R162" s="2">
        <f t="shared" si="30"/>
        <v>7.5</v>
      </c>
      <c r="T162" s="7">
        <f t="shared" si="25"/>
        <v>4.1294915309359395E-5</v>
      </c>
      <c r="V162" s="40">
        <f>claims!D162</f>
        <v>0</v>
      </c>
      <c r="W162" s="40">
        <f>claims!E162</f>
        <v>0</v>
      </c>
      <c r="X162" s="40">
        <f>claims!F162</f>
        <v>1</v>
      </c>
      <c r="Z162" s="7">
        <f t="shared" si="31"/>
        <v>0</v>
      </c>
      <c r="AA162" s="7">
        <f t="shared" si="32"/>
        <v>0</v>
      </c>
      <c r="AB162" s="7">
        <f t="shared" si="33"/>
        <v>0.01</v>
      </c>
      <c r="AD162" s="7">
        <f t="shared" si="34"/>
        <v>5.0000000000000001E-3</v>
      </c>
    </row>
    <row r="163" spans="1:30" outlineLevel="1">
      <c r="A163" s="1" t="s">
        <v>242</v>
      </c>
      <c r="B163" s="1" t="s">
        <v>243</v>
      </c>
      <c r="C163" s="22"/>
      <c r="D163" s="5" t="s">
        <v>243</v>
      </c>
      <c r="E163" s="22"/>
      <c r="F163" s="5">
        <v>10</v>
      </c>
      <c r="G163" s="5">
        <f t="shared" si="27"/>
        <v>10</v>
      </c>
      <c r="H163" s="22"/>
      <c r="I163" s="5" t="s">
        <v>243</v>
      </c>
      <c r="J163" s="22"/>
      <c r="K163" s="5">
        <v>10</v>
      </c>
      <c r="L163" s="5">
        <f t="shared" si="28"/>
        <v>10</v>
      </c>
      <c r="M163" s="22"/>
      <c r="N163" s="5" t="s">
        <v>243</v>
      </c>
      <c r="O163" s="22"/>
      <c r="P163" s="5">
        <v>10</v>
      </c>
      <c r="Q163" s="5">
        <f t="shared" si="29"/>
        <v>10</v>
      </c>
      <c r="R163" s="2">
        <f t="shared" si="30"/>
        <v>10</v>
      </c>
      <c r="T163" s="7">
        <f t="shared" si="25"/>
        <v>5.505988707914586E-5</v>
      </c>
      <c r="V163" s="40">
        <f>claims!D163</f>
        <v>0</v>
      </c>
      <c r="W163" s="40">
        <f>claims!E163</f>
        <v>0</v>
      </c>
      <c r="X163" s="40">
        <f>claims!F163</f>
        <v>0</v>
      </c>
      <c r="Z163" s="7">
        <f t="shared" si="31"/>
        <v>0</v>
      </c>
      <c r="AA163" s="7">
        <f t="shared" si="32"/>
        <v>0</v>
      </c>
      <c r="AB163" s="7">
        <f t="shared" si="33"/>
        <v>0</v>
      </c>
      <c r="AD163" s="7">
        <f t="shared" si="34"/>
        <v>0</v>
      </c>
    </row>
    <row r="164" spans="1:30" outlineLevel="1">
      <c r="A164" s="1" t="s">
        <v>483</v>
      </c>
      <c r="B164" s="1" t="s">
        <v>484</v>
      </c>
      <c r="C164" s="22"/>
      <c r="D164" s="5" t="s">
        <v>484</v>
      </c>
      <c r="E164" s="22"/>
      <c r="F164" s="5">
        <v>2</v>
      </c>
      <c r="G164" s="5">
        <f t="shared" si="27"/>
        <v>2</v>
      </c>
      <c r="H164" s="22"/>
      <c r="I164" s="5" t="s">
        <v>484</v>
      </c>
      <c r="J164" s="22"/>
      <c r="K164" s="5">
        <v>4</v>
      </c>
      <c r="L164" s="5">
        <f t="shared" si="28"/>
        <v>4</v>
      </c>
      <c r="M164" s="22"/>
      <c r="N164" s="5" t="s">
        <v>484</v>
      </c>
      <c r="O164" s="22"/>
      <c r="P164" s="5">
        <v>5</v>
      </c>
      <c r="Q164" s="5">
        <f t="shared" si="29"/>
        <v>5</v>
      </c>
      <c r="R164" s="2">
        <f t="shared" si="30"/>
        <v>4.166666666666667</v>
      </c>
      <c r="T164" s="7">
        <f t="shared" si="25"/>
        <v>2.2941619616310777E-5</v>
      </c>
      <c r="V164" s="40">
        <f>claims!D164</f>
        <v>0</v>
      </c>
      <c r="W164" s="40">
        <f>claims!E164</f>
        <v>0</v>
      </c>
      <c r="X164" s="40">
        <f>claims!F164</f>
        <v>0</v>
      </c>
      <c r="Z164" s="7">
        <f t="shared" si="31"/>
        <v>0</v>
      </c>
      <c r="AA164" s="7">
        <f t="shared" si="32"/>
        <v>0</v>
      </c>
      <c r="AB164" s="7">
        <f t="shared" si="33"/>
        <v>0</v>
      </c>
      <c r="AD164" s="7">
        <f t="shared" si="34"/>
        <v>0</v>
      </c>
    </row>
    <row r="165" spans="1:30" outlineLevel="1">
      <c r="A165" s="1" t="s">
        <v>244</v>
      </c>
      <c r="B165" s="1" t="s">
        <v>245</v>
      </c>
      <c r="C165" s="22"/>
      <c r="D165" s="5" t="s">
        <v>245</v>
      </c>
      <c r="E165" s="22"/>
      <c r="F165" s="5">
        <v>416</v>
      </c>
      <c r="G165" s="5">
        <f t="shared" si="27"/>
        <v>416</v>
      </c>
      <c r="H165" s="22"/>
      <c r="I165" s="5" t="s">
        <v>245</v>
      </c>
      <c r="J165" s="22"/>
      <c r="K165" s="5">
        <v>441.5</v>
      </c>
      <c r="L165" s="5">
        <f t="shared" si="28"/>
        <v>441.5</v>
      </c>
      <c r="M165" s="22"/>
      <c r="N165" s="5" t="s">
        <v>245</v>
      </c>
      <c r="O165" s="22"/>
      <c r="P165" s="5">
        <v>461.5</v>
      </c>
      <c r="Q165" s="5">
        <f t="shared" si="29"/>
        <v>461.5</v>
      </c>
      <c r="R165" s="2">
        <f t="shared" si="30"/>
        <v>447.25</v>
      </c>
      <c r="T165" s="7">
        <f t="shared" si="25"/>
        <v>2.4625534496147987E-3</v>
      </c>
      <c r="V165" s="40">
        <f>claims!D165</f>
        <v>4</v>
      </c>
      <c r="W165" s="40">
        <f>claims!E165</f>
        <v>1</v>
      </c>
      <c r="X165" s="40">
        <f>claims!F165</f>
        <v>2</v>
      </c>
      <c r="Z165" s="7">
        <f t="shared" si="31"/>
        <v>9.6153846153846159E-3</v>
      </c>
      <c r="AA165" s="7">
        <f t="shared" si="32"/>
        <v>2.2650056625141564E-3</v>
      </c>
      <c r="AB165" s="7">
        <f t="shared" si="33"/>
        <v>4.3336944745395447E-3</v>
      </c>
      <c r="AD165" s="7">
        <f t="shared" si="34"/>
        <v>4.5244132273385938E-3</v>
      </c>
    </row>
    <row r="166" spans="1:30" outlineLevel="1">
      <c r="A166" s="1" t="s">
        <v>246</v>
      </c>
      <c r="B166" s="1" t="s">
        <v>247</v>
      </c>
      <c r="C166" s="22"/>
      <c r="D166" s="5" t="s">
        <v>247</v>
      </c>
      <c r="E166" s="22"/>
      <c r="F166" s="5">
        <v>8</v>
      </c>
      <c r="G166" s="5">
        <f t="shared" si="27"/>
        <v>8</v>
      </c>
      <c r="H166" s="22"/>
      <c r="I166" s="5" t="s">
        <v>247</v>
      </c>
      <c r="J166" s="22"/>
      <c r="K166" s="5">
        <v>9</v>
      </c>
      <c r="L166" s="5">
        <f t="shared" si="28"/>
        <v>9</v>
      </c>
      <c r="M166" s="22"/>
      <c r="N166" s="5" t="s">
        <v>247</v>
      </c>
      <c r="O166" s="22"/>
      <c r="P166" s="5">
        <v>8</v>
      </c>
      <c r="Q166" s="5">
        <f t="shared" si="29"/>
        <v>8</v>
      </c>
      <c r="R166" s="2">
        <f t="shared" si="30"/>
        <v>8.3333333333333339</v>
      </c>
      <c r="T166" s="7">
        <f t="shared" si="25"/>
        <v>4.5883239232621554E-5</v>
      </c>
      <c r="V166" s="40">
        <f>claims!D166</f>
        <v>0</v>
      </c>
      <c r="W166" s="40">
        <f>claims!E166</f>
        <v>0</v>
      </c>
      <c r="X166" s="40">
        <f>claims!F166</f>
        <v>0</v>
      </c>
      <c r="Z166" s="7">
        <f t="shared" si="31"/>
        <v>0</v>
      </c>
      <c r="AA166" s="7">
        <f t="shared" si="32"/>
        <v>0</v>
      </c>
      <c r="AB166" s="7">
        <f t="shared" si="33"/>
        <v>0</v>
      </c>
      <c r="AD166" s="7">
        <f t="shared" si="34"/>
        <v>0</v>
      </c>
    </row>
    <row r="167" spans="1:30" outlineLevel="1">
      <c r="A167" s="1" t="s">
        <v>248</v>
      </c>
      <c r="B167" s="1" t="s">
        <v>249</v>
      </c>
      <c r="C167" s="22"/>
      <c r="D167" s="5" t="s">
        <v>249</v>
      </c>
      <c r="E167" s="22"/>
      <c r="F167" s="5">
        <v>8</v>
      </c>
      <c r="G167" s="5">
        <f t="shared" si="27"/>
        <v>8</v>
      </c>
      <c r="H167" s="22"/>
      <c r="I167" s="5" t="s">
        <v>249</v>
      </c>
      <c r="J167" s="22"/>
      <c r="K167" s="5">
        <v>8</v>
      </c>
      <c r="L167" s="5">
        <f t="shared" si="28"/>
        <v>8</v>
      </c>
      <c r="M167" s="22"/>
      <c r="N167" s="5" t="s">
        <v>249</v>
      </c>
      <c r="O167" s="22"/>
      <c r="P167" s="5">
        <v>9</v>
      </c>
      <c r="Q167" s="5">
        <f t="shared" si="29"/>
        <v>9</v>
      </c>
      <c r="R167" s="2">
        <f t="shared" si="30"/>
        <v>8.5</v>
      </c>
      <c r="T167" s="7">
        <f t="shared" si="25"/>
        <v>4.6800904017273982E-5</v>
      </c>
      <c r="V167" s="40">
        <f>claims!D167</f>
        <v>0</v>
      </c>
      <c r="W167" s="40">
        <f>claims!E167</f>
        <v>0</v>
      </c>
      <c r="X167" s="40">
        <f>claims!F167</f>
        <v>0</v>
      </c>
      <c r="Z167" s="7">
        <f t="shared" si="31"/>
        <v>0</v>
      </c>
      <c r="AA167" s="7">
        <f t="shared" si="32"/>
        <v>0</v>
      </c>
      <c r="AB167" s="7">
        <f t="shared" si="33"/>
        <v>0</v>
      </c>
      <c r="AD167" s="7">
        <f t="shared" si="34"/>
        <v>0</v>
      </c>
    </row>
    <row r="168" spans="1:30" outlineLevel="1">
      <c r="A168" s="1" t="s">
        <v>250</v>
      </c>
      <c r="B168" s="1" t="s">
        <v>251</v>
      </c>
      <c r="C168" s="22"/>
      <c r="D168" s="5" t="s">
        <v>251</v>
      </c>
      <c r="E168" s="22"/>
      <c r="F168" s="5">
        <v>90</v>
      </c>
      <c r="G168" s="5">
        <f t="shared" si="27"/>
        <v>90</v>
      </c>
      <c r="H168" s="22"/>
      <c r="I168" s="5" t="s">
        <v>251</v>
      </c>
      <c r="J168" s="22"/>
      <c r="K168" s="5">
        <v>93</v>
      </c>
      <c r="L168" s="5">
        <f t="shared" si="28"/>
        <v>93</v>
      </c>
      <c r="M168" s="22"/>
      <c r="N168" s="5" t="s">
        <v>251</v>
      </c>
      <c r="O168" s="22"/>
      <c r="P168" s="5">
        <v>100</v>
      </c>
      <c r="Q168" s="5">
        <f t="shared" si="29"/>
        <v>100</v>
      </c>
      <c r="R168" s="2">
        <f t="shared" si="30"/>
        <v>96</v>
      </c>
      <c r="T168" s="7">
        <f t="shared" si="25"/>
        <v>5.2857491595980027E-4</v>
      </c>
      <c r="V168" s="40">
        <f>claims!D168</f>
        <v>0</v>
      </c>
      <c r="W168" s="40">
        <f>claims!E168</f>
        <v>2</v>
      </c>
      <c r="X168" s="40">
        <f>claims!F168</f>
        <v>2</v>
      </c>
      <c r="Z168" s="7">
        <f t="shared" si="31"/>
        <v>0</v>
      </c>
      <c r="AA168" s="7">
        <f t="shared" si="32"/>
        <v>0.02</v>
      </c>
      <c r="AB168" s="7">
        <f t="shared" si="33"/>
        <v>0.02</v>
      </c>
      <c r="AD168" s="7">
        <f t="shared" si="34"/>
        <v>1.6666666666666666E-2</v>
      </c>
    </row>
    <row r="169" spans="1:30" outlineLevel="1">
      <c r="A169" s="1" t="s">
        <v>252</v>
      </c>
      <c r="B169" s="1" t="s">
        <v>253</v>
      </c>
      <c r="C169" s="22"/>
      <c r="D169" s="5" t="s">
        <v>253</v>
      </c>
      <c r="E169" s="22"/>
      <c r="F169" s="5">
        <v>8</v>
      </c>
      <c r="G169" s="5">
        <f t="shared" si="27"/>
        <v>8</v>
      </c>
      <c r="H169" s="22"/>
      <c r="I169" s="5" t="s">
        <v>253</v>
      </c>
      <c r="J169" s="22"/>
      <c r="K169" s="5">
        <v>8</v>
      </c>
      <c r="L169" s="5">
        <f t="shared" si="28"/>
        <v>8</v>
      </c>
      <c r="M169" s="22"/>
      <c r="N169" s="5" t="s">
        <v>253</v>
      </c>
      <c r="O169" s="22"/>
      <c r="P169" s="5">
        <v>6</v>
      </c>
      <c r="Q169" s="5">
        <f t="shared" si="29"/>
        <v>6</v>
      </c>
      <c r="R169" s="2">
        <f t="shared" si="30"/>
        <v>7</v>
      </c>
      <c r="T169" s="7">
        <f t="shared" si="25"/>
        <v>3.8541920955402104E-5</v>
      </c>
      <c r="V169" s="40">
        <f>claims!D169</f>
        <v>0</v>
      </c>
      <c r="W169" s="40">
        <f>claims!E169</f>
        <v>0</v>
      </c>
      <c r="X169" s="40">
        <f>claims!F169</f>
        <v>0</v>
      </c>
      <c r="Z169" s="7">
        <f t="shared" si="31"/>
        <v>0</v>
      </c>
      <c r="AA169" s="7">
        <f t="shared" si="32"/>
        <v>0</v>
      </c>
      <c r="AB169" s="7">
        <f t="shared" si="33"/>
        <v>0</v>
      </c>
      <c r="AD169" s="7">
        <f t="shared" si="34"/>
        <v>0</v>
      </c>
    </row>
    <row r="170" spans="1:30" outlineLevel="1">
      <c r="A170" s="56" t="s">
        <v>254</v>
      </c>
      <c r="B170" s="56" t="s">
        <v>255</v>
      </c>
      <c r="C170" s="22"/>
      <c r="D170" s="5" t="s">
        <v>255</v>
      </c>
      <c r="E170" s="22"/>
      <c r="F170" s="5">
        <v>27</v>
      </c>
      <c r="G170" s="37">
        <f t="shared" si="27"/>
        <v>27</v>
      </c>
      <c r="H170" s="22"/>
      <c r="I170" s="5" t="s">
        <v>255</v>
      </c>
      <c r="J170" s="22"/>
      <c r="K170" s="5">
        <v>26.5</v>
      </c>
      <c r="L170" s="37">
        <f t="shared" si="28"/>
        <v>26.5</v>
      </c>
      <c r="M170" s="22"/>
      <c r="N170" s="5" t="s">
        <v>255</v>
      </c>
      <c r="O170" s="22"/>
      <c r="P170" s="5">
        <v>30</v>
      </c>
      <c r="Q170" s="5">
        <f t="shared" si="29"/>
        <v>30</v>
      </c>
      <c r="R170" s="2">
        <f t="shared" si="30"/>
        <v>28.333333333333332</v>
      </c>
      <c r="T170" s="7">
        <f t="shared" si="25"/>
        <v>1.5600301339091326E-4</v>
      </c>
      <c r="V170" s="40">
        <f>claims!D170</f>
        <v>0</v>
      </c>
      <c r="W170" s="40">
        <f>claims!E170</f>
        <v>0</v>
      </c>
      <c r="X170" s="40">
        <f>claims!F170</f>
        <v>0</v>
      </c>
      <c r="Z170" s="7">
        <f t="shared" si="31"/>
        <v>0</v>
      </c>
      <c r="AA170" s="7">
        <f t="shared" si="32"/>
        <v>0</v>
      </c>
      <c r="AB170" s="7">
        <f t="shared" si="33"/>
        <v>0</v>
      </c>
      <c r="AD170" s="7">
        <f t="shared" si="34"/>
        <v>0</v>
      </c>
    </row>
    <row r="171" spans="1:30" outlineLevel="1">
      <c r="A171" s="56" t="s">
        <v>256</v>
      </c>
      <c r="B171" s="56" t="s">
        <v>257</v>
      </c>
      <c r="C171" s="22"/>
      <c r="D171" s="5" t="s">
        <v>257</v>
      </c>
      <c r="E171" s="22"/>
      <c r="F171" s="5">
        <v>26</v>
      </c>
      <c r="G171" s="37">
        <f t="shared" si="27"/>
        <v>26</v>
      </c>
      <c r="H171" s="22"/>
      <c r="I171" s="5" t="s">
        <v>257</v>
      </c>
      <c r="J171" s="22"/>
      <c r="K171" s="5">
        <v>27</v>
      </c>
      <c r="L171" s="37">
        <f t="shared" si="28"/>
        <v>27</v>
      </c>
      <c r="M171" s="22"/>
      <c r="N171" s="5" t="s">
        <v>257</v>
      </c>
      <c r="O171" s="22"/>
      <c r="P171" s="5">
        <v>27</v>
      </c>
      <c r="Q171" s="5">
        <f t="shared" si="29"/>
        <v>27</v>
      </c>
      <c r="R171" s="2">
        <f t="shared" ref="R171:R202" si="35">IF(G171&gt;0,(+G171+(L171*2)+(Q171*3))/6,IF(L171&gt;0,((L171*2)+(Q171*3))/5,Q171))</f>
        <v>26.833333333333332</v>
      </c>
      <c r="T171" s="7">
        <f t="shared" si="25"/>
        <v>1.4774403032904139E-4</v>
      </c>
      <c r="V171" s="40">
        <f>claims!D171</f>
        <v>0</v>
      </c>
      <c r="W171" s="40">
        <f>claims!E171</f>
        <v>1</v>
      </c>
      <c r="X171" s="40">
        <f>claims!F171</f>
        <v>0</v>
      </c>
      <c r="Z171" s="7">
        <f t="shared" si="31"/>
        <v>0</v>
      </c>
      <c r="AA171" s="7">
        <f t="shared" si="32"/>
        <v>0.01</v>
      </c>
      <c r="AB171" s="7">
        <f t="shared" si="33"/>
        <v>0</v>
      </c>
      <c r="AD171" s="7">
        <f t="shared" si="34"/>
        <v>3.3333333333333335E-3</v>
      </c>
    </row>
    <row r="172" spans="1:30" outlineLevel="1">
      <c r="A172" s="56" t="s">
        <v>258</v>
      </c>
      <c r="B172" s="56" t="s">
        <v>259</v>
      </c>
      <c r="C172" s="22"/>
      <c r="D172" s="5" t="s">
        <v>259</v>
      </c>
      <c r="E172" s="22"/>
      <c r="F172" s="5">
        <v>143</v>
      </c>
      <c r="G172" s="37">
        <f t="shared" si="27"/>
        <v>143</v>
      </c>
      <c r="H172" s="22"/>
      <c r="I172" s="5" t="s">
        <v>259</v>
      </c>
      <c r="J172" s="22"/>
      <c r="K172" s="5">
        <v>138</v>
      </c>
      <c r="L172" s="37">
        <f t="shared" si="28"/>
        <v>138</v>
      </c>
      <c r="M172" s="22"/>
      <c r="N172" s="5" t="s">
        <v>259</v>
      </c>
      <c r="O172" s="22"/>
      <c r="P172" s="5">
        <v>136</v>
      </c>
      <c r="Q172" s="5">
        <f t="shared" ref="Q172:Q203" si="36">AVERAGE(M172:P172)</f>
        <v>136</v>
      </c>
      <c r="R172" s="2">
        <f t="shared" si="35"/>
        <v>137.83333333333334</v>
      </c>
      <c r="T172" s="7">
        <f t="shared" si="25"/>
        <v>7.5890877690756051E-4</v>
      </c>
      <c r="V172" s="40">
        <f>claims!D172</f>
        <v>2</v>
      </c>
      <c r="W172" s="40">
        <f>claims!E172</f>
        <v>3</v>
      </c>
      <c r="X172" s="40">
        <f>claims!F172</f>
        <v>3</v>
      </c>
      <c r="Z172" s="7">
        <f t="shared" si="31"/>
        <v>1.3986013986013986E-2</v>
      </c>
      <c r="AA172" s="7">
        <f t="shared" si="32"/>
        <v>2.1739130434782608E-2</v>
      </c>
      <c r="AB172" s="7">
        <f t="shared" si="33"/>
        <v>2.2058823529411766E-2</v>
      </c>
      <c r="AD172" s="7">
        <f t="shared" si="34"/>
        <v>2.0606790907302417E-2</v>
      </c>
    </row>
    <row r="173" spans="1:30" outlineLevel="1">
      <c r="A173" s="1" t="s">
        <v>260</v>
      </c>
      <c r="B173" s="1" t="s">
        <v>261</v>
      </c>
      <c r="C173" s="22"/>
      <c r="D173" s="5" t="s">
        <v>261</v>
      </c>
      <c r="E173" s="22"/>
      <c r="F173" s="5">
        <v>6</v>
      </c>
      <c r="G173" s="5">
        <f t="shared" ref="G173:G204" si="37">AVERAGE(C173:F173)</f>
        <v>6</v>
      </c>
      <c r="H173" s="22"/>
      <c r="I173" s="5" t="s">
        <v>261</v>
      </c>
      <c r="J173" s="22"/>
      <c r="K173" s="5">
        <v>6</v>
      </c>
      <c r="L173" s="5">
        <f t="shared" ref="L173:L204" si="38">AVERAGE(H173:K173)</f>
        <v>6</v>
      </c>
      <c r="M173" s="22"/>
      <c r="N173" s="5" t="s">
        <v>261</v>
      </c>
      <c r="O173" s="22"/>
      <c r="P173" s="5">
        <v>6</v>
      </c>
      <c r="Q173" s="5">
        <f t="shared" si="36"/>
        <v>6</v>
      </c>
      <c r="R173" s="2">
        <f t="shared" si="35"/>
        <v>6</v>
      </c>
      <c r="T173" s="7">
        <f t="shared" si="25"/>
        <v>3.3035932247487517E-5</v>
      </c>
      <c r="V173" s="40">
        <f>claims!D173</f>
        <v>0</v>
      </c>
      <c r="W173" s="40">
        <f>claims!E173</f>
        <v>0</v>
      </c>
      <c r="X173" s="40">
        <f>claims!F173</f>
        <v>0</v>
      </c>
      <c r="Z173" s="7">
        <f t="shared" si="31"/>
        <v>0</v>
      </c>
      <c r="AA173" s="7">
        <f t="shared" si="32"/>
        <v>0</v>
      </c>
      <c r="AB173" s="7">
        <f t="shared" si="33"/>
        <v>0</v>
      </c>
      <c r="AD173" s="7">
        <f t="shared" si="34"/>
        <v>0</v>
      </c>
    </row>
    <row r="174" spans="1:30" outlineLevel="1">
      <c r="A174" s="1" t="s">
        <v>262</v>
      </c>
      <c r="B174" s="1" t="s">
        <v>263</v>
      </c>
      <c r="C174" s="22"/>
      <c r="D174" s="5" t="s">
        <v>263</v>
      </c>
      <c r="E174" s="22"/>
      <c r="F174" s="5">
        <v>10</v>
      </c>
      <c r="G174" s="5">
        <f t="shared" si="37"/>
        <v>10</v>
      </c>
      <c r="H174" s="22"/>
      <c r="I174" s="5" t="s">
        <v>263</v>
      </c>
      <c r="J174" s="22"/>
      <c r="K174" s="5">
        <v>10</v>
      </c>
      <c r="L174" s="5">
        <f t="shared" si="38"/>
        <v>10</v>
      </c>
      <c r="M174" s="22"/>
      <c r="N174" s="5" t="s">
        <v>263</v>
      </c>
      <c r="O174" s="22"/>
      <c r="P174" s="5">
        <v>10</v>
      </c>
      <c r="Q174" s="5">
        <f t="shared" si="36"/>
        <v>10</v>
      </c>
      <c r="R174" s="2">
        <f t="shared" si="35"/>
        <v>10</v>
      </c>
      <c r="T174" s="7">
        <f t="shared" si="25"/>
        <v>5.505988707914586E-5</v>
      </c>
      <c r="V174" s="40">
        <f>claims!D174</f>
        <v>0</v>
      </c>
      <c r="W174" s="40">
        <f>claims!E174</f>
        <v>0</v>
      </c>
      <c r="X174" s="40">
        <f>claims!F174</f>
        <v>0</v>
      </c>
      <c r="Z174" s="7">
        <f t="shared" si="31"/>
        <v>0</v>
      </c>
      <c r="AA174" s="7">
        <f t="shared" si="32"/>
        <v>0</v>
      </c>
      <c r="AB174" s="7">
        <f t="shared" si="33"/>
        <v>0</v>
      </c>
      <c r="AD174" s="7">
        <f t="shared" si="34"/>
        <v>0</v>
      </c>
    </row>
    <row r="175" spans="1:30" outlineLevel="1">
      <c r="A175" s="1" t="s">
        <v>264</v>
      </c>
      <c r="B175" s="1" t="s">
        <v>265</v>
      </c>
      <c r="C175" s="22"/>
      <c r="D175" s="5" t="s">
        <v>265</v>
      </c>
      <c r="E175" s="22"/>
      <c r="F175" s="5">
        <v>7.5</v>
      </c>
      <c r="G175" s="5">
        <f t="shared" si="37"/>
        <v>7.5</v>
      </c>
      <c r="H175" s="22"/>
      <c r="I175" s="5" t="s">
        <v>265</v>
      </c>
      <c r="J175" s="22"/>
      <c r="K175" s="5">
        <v>8</v>
      </c>
      <c r="L175" s="5">
        <f t="shared" si="38"/>
        <v>8</v>
      </c>
      <c r="M175" s="22"/>
      <c r="N175" s="5" t="s">
        <v>265</v>
      </c>
      <c r="O175" s="22"/>
      <c r="P175" s="5">
        <v>8</v>
      </c>
      <c r="Q175" s="5">
        <f t="shared" si="36"/>
        <v>8</v>
      </c>
      <c r="R175" s="2">
        <f t="shared" si="35"/>
        <v>7.916666666666667</v>
      </c>
      <c r="T175" s="7">
        <f t="shared" si="25"/>
        <v>4.3589077270990474E-5</v>
      </c>
      <c r="V175" s="40">
        <f>claims!D175</f>
        <v>0</v>
      </c>
      <c r="W175" s="40">
        <f>claims!E175</f>
        <v>0</v>
      </c>
      <c r="X175" s="40">
        <f>claims!F175</f>
        <v>0</v>
      </c>
      <c r="Z175" s="7">
        <f t="shared" si="31"/>
        <v>0</v>
      </c>
      <c r="AA175" s="7">
        <f t="shared" si="32"/>
        <v>0</v>
      </c>
      <c r="AB175" s="7">
        <f t="shared" si="33"/>
        <v>0</v>
      </c>
      <c r="AD175" s="7">
        <f t="shared" si="34"/>
        <v>0</v>
      </c>
    </row>
    <row r="176" spans="1:30" outlineLevel="1">
      <c r="A176" s="1" t="s">
        <v>266</v>
      </c>
      <c r="B176" s="1" t="s">
        <v>267</v>
      </c>
      <c r="C176" s="22"/>
      <c r="D176" s="5" t="s">
        <v>267</v>
      </c>
      <c r="E176" s="22"/>
      <c r="F176" s="5">
        <v>17</v>
      </c>
      <c r="G176" s="5">
        <f t="shared" si="37"/>
        <v>17</v>
      </c>
      <c r="H176" s="22"/>
      <c r="I176" s="5" t="s">
        <v>267</v>
      </c>
      <c r="J176" s="22"/>
      <c r="K176" s="5">
        <v>18.5</v>
      </c>
      <c r="L176" s="5">
        <f t="shared" si="38"/>
        <v>18.5</v>
      </c>
      <c r="M176" s="22"/>
      <c r="N176" s="5" t="s">
        <v>267</v>
      </c>
      <c r="O176" s="22"/>
      <c r="P176" s="5">
        <v>19.5</v>
      </c>
      <c r="Q176" s="5">
        <f t="shared" si="36"/>
        <v>19.5</v>
      </c>
      <c r="R176" s="2">
        <f t="shared" si="35"/>
        <v>18.75</v>
      </c>
      <c r="T176" s="7">
        <f t="shared" si="25"/>
        <v>1.0323728827339849E-4</v>
      </c>
      <c r="V176" s="40">
        <f>claims!D176</f>
        <v>0</v>
      </c>
      <c r="W176" s="40">
        <f>claims!E176</f>
        <v>0</v>
      </c>
      <c r="X176" s="40">
        <f>claims!F176</f>
        <v>0</v>
      </c>
      <c r="Z176" s="7">
        <f t="shared" si="31"/>
        <v>0</v>
      </c>
      <c r="AA176" s="7">
        <f t="shared" si="32"/>
        <v>0</v>
      </c>
      <c r="AB176" s="7">
        <f t="shared" si="33"/>
        <v>0</v>
      </c>
      <c r="AD176" s="7">
        <f t="shared" si="34"/>
        <v>0</v>
      </c>
    </row>
    <row r="177" spans="1:30" outlineLevel="1">
      <c r="A177" s="1" t="s">
        <v>268</v>
      </c>
      <c r="B177" s="1" t="s">
        <v>269</v>
      </c>
      <c r="C177" s="22"/>
      <c r="D177" s="5" t="s">
        <v>269</v>
      </c>
      <c r="E177" s="22"/>
      <c r="F177" s="5">
        <v>2.5</v>
      </c>
      <c r="G177" s="5">
        <f t="shared" si="37"/>
        <v>2.5</v>
      </c>
      <c r="H177" s="22"/>
      <c r="I177" s="5" t="s">
        <v>269</v>
      </c>
      <c r="J177" s="22"/>
      <c r="K177" s="5">
        <v>2.5</v>
      </c>
      <c r="L177" s="5">
        <f t="shared" si="38"/>
        <v>2.5</v>
      </c>
      <c r="M177" s="22"/>
      <c r="N177" s="5" t="s">
        <v>269</v>
      </c>
      <c r="O177" s="22"/>
      <c r="P177" s="5">
        <v>2.5</v>
      </c>
      <c r="Q177" s="5">
        <f t="shared" si="36"/>
        <v>2.5</v>
      </c>
      <c r="R177" s="2">
        <f t="shared" si="35"/>
        <v>2.5</v>
      </c>
      <c r="T177" s="7">
        <f t="shared" si="25"/>
        <v>1.3764971769786465E-5</v>
      </c>
      <c r="V177" s="40">
        <f>claims!D177</f>
        <v>0</v>
      </c>
      <c r="W177" s="40">
        <f>claims!E177</f>
        <v>0</v>
      </c>
      <c r="X177" s="40">
        <f>claims!F177</f>
        <v>0</v>
      </c>
      <c r="Z177" s="7">
        <f t="shared" si="31"/>
        <v>0</v>
      </c>
      <c r="AA177" s="7">
        <f t="shared" si="32"/>
        <v>0</v>
      </c>
      <c r="AB177" s="7">
        <f t="shared" si="33"/>
        <v>0</v>
      </c>
      <c r="AD177" s="7">
        <f t="shared" si="34"/>
        <v>0</v>
      </c>
    </row>
    <row r="178" spans="1:30" outlineLevel="1">
      <c r="A178" s="1" t="s">
        <v>270</v>
      </c>
      <c r="B178" s="1" t="s">
        <v>271</v>
      </c>
      <c r="C178" s="22"/>
      <c r="D178" s="5" t="s">
        <v>271</v>
      </c>
      <c r="E178" s="22"/>
      <c r="F178" s="5">
        <v>85</v>
      </c>
      <c r="G178" s="5">
        <f t="shared" si="37"/>
        <v>85</v>
      </c>
      <c r="H178" s="22"/>
      <c r="I178" s="5" t="s">
        <v>271</v>
      </c>
      <c r="J178" s="22"/>
      <c r="K178" s="5">
        <v>90.5</v>
      </c>
      <c r="L178" s="5">
        <f t="shared" si="38"/>
        <v>90.5</v>
      </c>
      <c r="M178" s="22"/>
      <c r="N178" s="5" t="s">
        <v>271</v>
      </c>
      <c r="O178" s="22"/>
      <c r="P178" s="5">
        <v>89.5</v>
      </c>
      <c r="Q178" s="5">
        <f t="shared" si="36"/>
        <v>89.5</v>
      </c>
      <c r="R178" s="2">
        <f t="shared" si="35"/>
        <v>89.083333333333329</v>
      </c>
      <c r="T178" s="7">
        <f t="shared" si="25"/>
        <v>4.9049182739672439E-4</v>
      </c>
      <c r="V178" s="40">
        <f>claims!D178</f>
        <v>1</v>
      </c>
      <c r="W178" s="40">
        <f>claims!E178</f>
        <v>2</v>
      </c>
      <c r="X178" s="40">
        <f>claims!F178</f>
        <v>3</v>
      </c>
      <c r="Z178" s="7">
        <f t="shared" si="31"/>
        <v>0.01</v>
      </c>
      <c r="AA178" s="7">
        <f t="shared" si="32"/>
        <v>0.02</v>
      </c>
      <c r="AB178" s="7">
        <f t="shared" si="33"/>
        <v>0.03</v>
      </c>
      <c r="AD178" s="7">
        <f t="shared" si="34"/>
        <v>2.3333333333333334E-2</v>
      </c>
    </row>
    <row r="179" spans="1:30" outlineLevel="1">
      <c r="A179" s="1" t="s">
        <v>272</v>
      </c>
      <c r="B179" s="1" t="s">
        <v>273</v>
      </c>
      <c r="C179" s="22"/>
      <c r="D179" s="5" t="s">
        <v>273</v>
      </c>
      <c r="E179" s="22"/>
      <c r="F179" s="5">
        <v>57</v>
      </c>
      <c r="G179" s="5">
        <f t="shared" si="37"/>
        <v>57</v>
      </c>
      <c r="H179" s="22"/>
      <c r="I179" s="5" t="s">
        <v>273</v>
      </c>
      <c r="J179" s="22"/>
      <c r="K179" s="5">
        <v>57</v>
      </c>
      <c r="L179" s="5">
        <f t="shared" si="38"/>
        <v>57</v>
      </c>
      <c r="M179" s="22"/>
      <c r="N179" s="5" t="s">
        <v>273</v>
      </c>
      <c r="O179" s="22"/>
      <c r="P179" s="5">
        <v>57</v>
      </c>
      <c r="Q179" s="5">
        <f t="shared" si="36"/>
        <v>57</v>
      </c>
      <c r="R179" s="2">
        <f t="shared" si="35"/>
        <v>57</v>
      </c>
      <c r="T179" s="7">
        <f t="shared" si="25"/>
        <v>3.1384135635113142E-4</v>
      </c>
      <c r="V179" s="40">
        <f>claims!D179</f>
        <v>0</v>
      </c>
      <c r="W179" s="40">
        <f>claims!E179</f>
        <v>1</v>
      </c>
      <c r="X179" s="40">
        <f>claims!F179</f>
        <v>2</v>
      </c>
      <c r="Z179" s="7">
        <f t="shared" si="31"/>
        <v>0</v>
      </c>
      <c r="AA179" s="7">
        <f t="shared" si="32"/>
        <v>0.01</v>
      </c>
      <c r="AB179" s="7">
        <f t="shared" si="33"/>
        <v>0.02</v>
      </c>
      <c r="AD179" s="7">
        <f t="shared" si="34"/>
        <v>1.3333333333333334E-2</v>
      </c>
    </row>
    <row r="180" spans="1:30" outlineLevel="1">
      <c r="A180" s="1" t="s">
        <v>274</v>
      </c>
      <c r="B180" s="1" t="s">
        <v>275</v>
      </c>
      <c r="C180" s="22"/>
      <c r="D180" s="5" t="s">
        <v>275</v>
      </c>
      <c r="E180" s="22"/>
      <c r="F180" s="5">
        <v>2</v>
      </c>
      <c r="G180" s="5">
        <f t="shared" si="37"/>
        <v>2</v>
      </c>
      <c r="H180" s="22"/>
      <c r="I180" s="5" t="s">
        <v>275</v>
      </c>
      <c r="J180" s="22"/>
      <c r="K180" s="5">
        <v>2</v>
      </c>
      <c r="L180" s="5">
        <f t="shared" si="38"/>
        <v>2</v>
      </c>
      <c r="M180" s="22"/>
      <c r="N180" s="5" t="s">
        <v>275</v>
      </c>
      <c r="O180" s="22"/>
      <c r="P180" s="5">
        <v>3</v>
      </c>
      <c r="Q180" s="5">
        <f t="shared" si="36"/>
        <v>3</v>
      </c>
      <c r="R180" s="2">
        <f t="shared" si="35"/>
        <v>2.5</v>
      </c>
      <c r="T180" s="7">
        <f t="shared" si="25"/>
        <v>1.3764971769786465E-5</v>
      </c>
      <c r="V180" s="40">
        <f>claims!D180</f>
        <v>0</v>
      </c>
      <c r="W180" s="40">
        <f>claims!E180</f>
        <v>0</v>
      </c>
      <c r="X180" s="40">
        <f>claims!F180</f>
        <v>0</v>
      </c>
      <c r="Z180" s="7">
        <f t="shared" si="31"/>
        <v>0</v>
      </c>
      <c r="AA180" s="7">
        <f t="shared" si="32"/>
        <v>0</v>
      </c>
      <c r="AB180" s="7">
        <f t="shared" si="33"/>
        <v>0</v>
      </c>
      <c r="AD180" s="7">
        <f t="shared" si="34"/>
        <v>0</v>
      </c>
    </row>
    <row r="181" spans="1:30" outlineLevel="1">
      <c r="A181" s="1" t="s">
        <v>276</v>
      </c>
      <c r="B181" s="1" t="s">
        <v>277</v>
      </c>
      <c r="C181" s="22"/>
      <c r="D181" s="5" t="s">
        <v>277</v>
      </c>
      <c r="E181" s="22"/>
      <c r="F181" s="5">
        <v>39</v>
      </c>
      <c r="G181" s="5">
        <f t="shared" si="37"/>
        <v>39</v>
      </c>
      <c r="H181" s="22"/>
      <c r="I181" s="5" t="s">
        <v>277</v>
      </c>
      <c r="J181" s="22"/>
      <c r="K181" s="5">
        <v>35.5</v>
      </c>
      <c r="L181" s="5">
        <f t="shared" si="38"/>
        <v>35.5</v>
      </c>
      <c r="M181" s="22"/>
      <c r="N181" s="5" t="s">
        <v>277</v>
      </c>
      <c r="O181" s="22"/>
      <c r="P181" s="5">
        <v>37</v>
      </c>
      <c r="Q181" s="5">
        <f t="shared" si="36"/>
        <v>37</v>
      </c>
      <c r="R181" s="2">
        <f t="shared" si="35"/>
        <v>36.833333333333336</v>
      </c>
      <c r="T181" s="7">
        <f t="shared" si="25"/>
        <v>2.0280391740818728E-4</v>
      </c>
      <c r="V181" s="40">
        <f>claims!D181</f>
        <v>0</v>
      </c>
      <c r="W181" s="40">
        <f>claims!E181</f>
        <v>0</v>
      </c>
      <c r="X181" s="40">
        <f>claims!F181</f>
        <v>0</v>
      </c>
      <c r="Z181" s="7">
        <f t="shared" si="31"/>
        <v>0</v>
      </c>
      <c r="AA181" s="7">
        <f t="shared" si="32"/>
        <v>0</v>
      </c>
      <c r="AB181" s="7">
        <f t="shared" si="33"/>
        <v>0</v>
      </c>
      <c r="AD181" s="7">
        <f t="shared" si="34"/>
        <v>0</v>
      </c>
    </row>
    <row r="182" spans="1:30" outlineLevel="1">
      <c r="A182" s="1" t="s">
        <v>278</v>
      </c>
      <c r="B182" s="1" t="s">
        <v>279</v>
      </c>
      <c r="C182" s="22"/>
      <c r="D182" s="5" t="s">
        <v>279</v>
      </c>
      <c r="E182" s="22"/>
      <c r="F182" s="5">
        <v>34</v>
      </c>
      <c r="G182" s="5">
        <f t="shared" si="37"/>
        <v>34</v>
      </c>
      <c r="H182" s="22"/>
      <c r="I182" s="5" t="s">
        <v>279</v>
      </c>
      <c r="J182" s="22"/>
      <c r="K182" s="5">
        <v>33</v>
      </c>
      <c r="L182" s="5">
        <f t="shared" si="38"/>
        <v>33</v>
      </c>
      <c r="M182" s="22"/>
      <c r="N182" s="5" t="s">
        <v>279</v>
      </c>
      <c r="O182" s="22"/>
      <c r="P182" s="5">
        <v>33</v>
      </c>
      <c r="Q182" s="5">
        <f t="shared" si="36"/>
        <v>33</v>
      </c>
      <c r="R182" s="2">
        <f t="shared" si="35"/>
        <v>33.166666666666664</v>
      </c>
      <c r="T182" s="7">
        <f t="shared" si="25"/>
        <v>1.8261529214583377E-4</v>
      </c>
      <c r="V182" s="40">
        <f>claims!D182</f>
        <v>1</v>
      </c>
      <c r="W182" s="40">
        <f>claims!E182</f>
        <v>2</v>
      </c>
      <c r="X182" s="40">
        <f>claims!F182</f>
        <v>0</v>
      </c>
      <c r="Z182" s="7">
        <f t="shared" si="31"/>
        <v>0.01</v>
      </c>
      <c r="AA182" s="7">
        <f t="shared" si="32"/>
        <v>0.02</v>
      </c>
      <c r="AB182" s="7">
        <f t="shared" si="33"/>
        <v>0</v>
      </c>
      <c r="AD182" s="7">
        <f t="shared" si="34"/>
        <v>8.3333333333333332E-3</v>
      </c>
    </row>
    <row r="183" spans="1:30" outlineLevel="1">
      <c r="A183" s="1" t="s">
        <v>280</v>
      </c>
      <c r="B183" s="1" t="s">
        <v>281</v>
      </c>
      <c r="C183" s="22"/>
      <c r="D183" s="5" t="s">
        <v>281</v>
      </c>
      <c r="E183" s="22"/>
      <c r="F183" s="5">
        <v>24</v>
      </c>
      <c r="G183" s="5">
        <f t="shared" si="37"/>
        <v>24</v>
      </c>
      <c r="H183" s="22"/>
      <c r="I183" s="5" t="s">
        <v>281</v>
      </c>
      <c r="J183" s="22"/>
      <c r="K183" s="5">
        <v>26.5</v>
      </c>
      <c r="L183" s="5">
        <f t="shared" si="38"/>
        <v>26.5</v>
      </c>
      <c r="M183" s="22"/>
      <c r="N183" s="5" t="s">
        <v>281</v>
      </c>
      <c r="O183" s="22"/>
      <c r="P183" s="5">
        <v>29.5</v>
      </c>
      <c r="Q183" s="5">
        <f t="shared" si="36"/>
        <v>29.5</v>
      </c>
      <c r="R183" s="2">
        <f t="shared" si="35"/>
        <v>27.583333333333332</v>
      </c>
      <c r="T183" s="7">
        <f t="shared" si="25"/>
        <v>1.5187352185997731E-4</v>
      </c>
      <c r="V183" s="40">
        <f>claims!D183</f>
        <v>0</v>
      </c>
      <c r="W183" s="40">
        <f>claims!E183</f>
        <v>0</v>
      </c>
      <c r="X183" s="40">
        <f>claims!F183</f>
        <v>1</v>
      </c>
      <c r="Z183" s="7">
        <f t="shared" si="31"/>
        <v>0</v>
      </c>
      <c r="AA183" s="7">
        <f t="shared" si="32"/>
        <v>0</v>
      </c>
      <c r="AB183" s="7">
        <f t="shared" si="33"/>
        <v>0.01</v>
      </c>
      <c r="AD183" s="7">
        <f t="shared" si="34"/>
        <v>5.0000000000000001E-3</v>
      </c>
    </row>
    <row r="184" spans="1:30" outlineLevel="1">
      <c r="A184" s="1" t="s">
        <v>282</v>
      </c>
      <c r="B184" s="1" t="s">
        <v>283</v>
      </c>
      <c r="C184" s="22"/>
      <c r="D184" s="5" t="s">
        <v>283</v>
      </c>
      <c r="E184" s="22"/>
      <c r="F184" s="5">
        <v>9</v>
      </c>
      <c r="G184" s="5">
        <f t="shared" si="37"/>
        <v>9</v>
      </c>
      <c r="H184" s="22"/>
      <c r="I184" s="5" t="s">
        <v>283</v>
      </c>
      <c r="J184" s="22"/>
      <c r="K184" s="5">
        <v>10</v>
      </c>
      <c r="L184" s="5">
        <f t="shared" si="38"/>
        <v>10</v>
      </c>
      <c r="M184" s="22"/>
      <c r="N184" s="5" t="s">
        <v>283</v>
      </c>
      <c r="O184" s="22"/>
      <c r="P184" s="5">
        <v>9</v>
      </c>
      <c r="Q184" s="5">
        <f t="shared" si="36"/>
        <v>9</v>
      </c>
      <c r="R184" s="2">
        <f t="shared" si="35"/>
        <v>9.3333333333333339</v>
      </c>
      <c r="T184" s="7">
        <f t="shared" si="25"/>
        <v>5.1389227940536142E-5</v>
      </c>
      <c r="V184" s="40">
        <f>claims!D184</f>
        <v>0</v>
      </c>
      <c r="W184" s="40">
        <f>claims!E184</f>
        <v>0</v>
      </c>
      <c r="X184" s="40">
        <f>claims!F184</f>
        <v>0</v>
      </c>
      <c r="Z184" s="7">
        <f t="shared" si="31"/>
        <v>0</v>
      </c>
      <c r="AA184" s="7">
        <f t="shared" si="32"/>
        <v>0</v>
      </c>
      <c r="AB184" s="7">
        <f t="shared" si="33"/>
        <v>0</v>
      </c>
      <c r="AD184" s="7">
        <f t="shared" si="34"/>
        <v>0</v>
      </c>
    </row>
    <row r="185" spans="1:30" outlineLevel="1">
      <c r="A185" s="1" t="s">
        <v>284</v>
      </c>
      <c r="B185" s="1" t="s">
        <v>285</v>
      </c>
      <c r="C185" s="22"/>
      <c r="D185" s="5" t="s">
        <v>285</v>
      </c>
      <c r="E185" s="22"/>
      <c r="F185" s="5">
        <v>15.5</v>
      </c>
      <c r="G185" s="5">
        <f t="shared" si="37"/>
        <v>15.5</v>
      </c>
      <c r="H185" s="22"/>
      <c r="I185" s="5" t="s">
        <v>285</v>
      </c>
      <c r="J185" s="22"/>
      <c r="K185" s="5">
        <v>16</v>
      </c>
      <c r="L185" s="5">
        <f t="shared" si="38"/>
        <v>16</v>
      </c>
      <c r="M185" s="22"/>
      <c r="N185" s="5" t="s">
        <v>285</v>
      </c>
      <c r="O185" s="22"/>
      <c r="P185" s="5">
        <v>18</v>
      </c>
      <c r="Q185" s="5">
        <f t="shared" si="36"/>
        <v>18</v>
      </c>
      <c r="R185" s="2">
        <f t="shared" si="35"/>
        <v>16.916666666666668</v>
      </c>
      <c r="T185" s="7">
        <f t="shared" si="25"/>
        <v>9.3142975642221754E-5</v>
      </c>
      <c r="V185" s="40">
        <f>claims!D185</f>
        <v>0</v>
      </c>
      <c r="W185" s="40">
        <f>claims!E185</f>
        <v>0</v>
      </c>
      <c r="X185" s="40">
        <f>claims!F185</f>
        <v>0</v>
      </c>
      <c r="Z185" s="7">
        <f t="shared" si="31"/>
        <v>0</v>
      </c>
      <c r="AA185" s="7">
        <f t="shared" si="32"/>
        <v>0</v>
      </c>
      <c r="AB185" s="7">
        <f t="shared" si="33"/>
        <v>0</v>
      </c>
      <c r="AD185" s="7">
        <f t="shared" si="34"/>
        <v>0</v>
      </c>
    </row>
    <row r="186" spans="1:30" outlineLevel="1">
      <c r="A186" s="1" t="s">
        <v>286</v>
      </c>
      <c r="B186" s="1" t="s">
        <v>287</v>
      </c>
      <c r="C186" s="22"/>
      <c r="D186" s="5" t="s">
        <v>287</v>
      </c>
      <c r="E186" s="22"/>
      <c r="F186" s="5">
        <v>544</v>
      </c>
      <c r="G186" s="5">
        <f t="shared" si="37"/>
        <v>544</v>
      </c>
      <c r="H186" s="22"/>
      <c r="I186" s="5" t="s">
        <v>287</v>
      </c>
      <c r="J186" s="22"/>
      <c r="K186" s="5">
        <v>564</v>
      </c>
      <c r="L186" s="5">
        <f t="shared" si="38"/>
        <v>564</v>
      </c>
      <c r="M186" s="22"/>
      <c r="N186" s="5" t="s">
        <v>287</v>
      </c>
      <c r="O186" s="22"/>
      <c r="P186" s="5">
        <v>584</v>
      </c>
      <c r="Q186" s="5">
        <f t="shared" si="36"/>
        <v>584</v>
      </c>
      <c r="R186" s="2">
        <f t="shared" si="35"/>
        <v>570.66666666666663</v>
      </c>
      <c r="T186" s="7">
        <f t="shared" si="25"/>
        <v>3.1420842226499235E-3</v>
      </c>
      <c r="V186" s="40">
        <f>claims!D186</f>
        <v>2</v>
      </c>
      <c r="W186" s="40">
        <f>claims!E186</f>
        <v>2</v>
      </c>
      <c r="X186" s="40">
        <f>claims!F186</f>
        <v>4</v>
      </c>
      <c r="Z186" s="7">
        <f t="shared" si="31"/>
        <v>3.6764705882352941E-3</v>
      </c>
      <c r="AA186" s="7">
        <f t="shared" si="32"/>
        <v>3.5460992907801418E-3</v>
      </c>
      <c r="AB186" s="7">
        <f t="shared" si="33"/>
        <v>6.8493150684931503E-3</v>
      </c>
      <c r="AD186" s="7">
        <f t="shared" si="34"/>
        <v>5.2194357292125043E-3</v>
      </c>
    </row>
    <row r="187" spans="1:30" outlineLevel="1">
      <c r="A187" s="1" t="s">
        <v>288</v>
      </c>
      <c r="B187" s="1" t="s">
        <v>289</v>
      </c>
      <c r="C187" s="22"/>
      <c r="D187" s="5" t="s">
        <v>289</v>
      </c>
      <c r="E187" s="22"/>
      <c r="F187" s="5">
        <v>12.5</v>
      </c>
      <c r="G187" s="5">
        <f t="shared" si="37"/>
        <v>12.5</v>
      </c>
      <c r="H187" s="22"/>
      <c r="I187" s="5" t="s">
        <v>289</v>
      </c>
      <c r="J187" s="22"/>
      <c r="K187" s="5">
        <v>13.5</v>
      </c>
      <c r="L187" s="5">
        <f t="shared" si="38"/>
        <v>13.5</v>
      </c>
      <c r="M187" s="22"/>
      <c r="N187" s="5" t="s">
        <v>289</v>
      </c>
      <c r="O187" s="22"/>
      <c r="P187" s="5">
        <v>13.5</v>
      </c>
      <c r="Q187" s="5">
        <f t="shared" si="36"/>
        <v>13.5</v>
      </c>
      <c r="R187" s="2">
        <f t="shared" si="35"/>
        <v>13.333333333333334</v>
      </c>
      <c r="T187" s="7">
        <f t="shared" si="25"/>
        <v>7.3413182772194484E-5</v>
      </c>
      <c r="V187" s="40">
        <f>claims!D187</f>
        <v>0</v>
      </c>
      <c r="W187" s="40">
        <f>claims!E187</f>
        <v>0</v>
      </c>
      <c r="X187" s="40">
        <f>claims!F187</f>
        <v>0</v>
      </c>
      <c r="Z187" s="7">
        <f t="shared" si="31"/>
        <v>0</v>
      </c>
      <c r="AA187" s="7">
        <f t="shared" si="32"/>
        <v>0</v>
      </c>
      <c r="AB187" s="7">
        <f t="shared" si="33"/>
        <v>0</v>
      </c>
      <c r="AD187" s="7">
        <f t="shared" si="34"/>
        <v>0</v>
      </c>
    </row>
    <row r="188" spans="1:30" outlineLevel="1">
      <c r="A188" s="1" t="s">
        <v>290</v>
      </c>
      <c r="B188" s="1" t="s">
        <v>291</v>
      </c>
      <c r="C188" s="22"/>
      <c r="D188" s="5" t="s">
        <v>291</v>
      </c>
      <c r="E188" s="22"/>
      <c r="F188" s="5">
        <v>3.5</v>
      </c>
      <c r="G188" s="5">
        <f t="shared" si="37"/>
        <v>3.5</v>
      </c>
      <c r="H188" s="22"/>
      <c r="I188" s="5" t="s">
        <v>291</v>
      </c>
      <c r="J188" s="22"/>
      <c r="K188" s="5">
        <v>2.5</v>
      </c>
      <c r="L188" s="5">
        <f t="shared" si="38"/>
        <v>2.5</v>
      </c>
      <c r="M188" s="22"/>
      <c r="N188" s="5" t="s">
        <v>291</v>
      </c>
      <c r="O188" s="22"/>
      <c r="P188" s="5">
        <v>3.5</v>
      </c>
      <c r="Q188" s="5">
        <f t="shared" si="36"/>
        <v>3.5</v>
      </c>
      <c r="R188" s="2">
        <f t="shared" si="35"/>
        <v>3.1666666666666665</v>
      </c>
      <c r="T188" s="7">
        <f t="shared" si="25"/>
        <v>1.743563090839619E-5</v>
      </c>
      <c r="V188" s="40">
        <f>claims!D188</f>
        <v>0</v>
      </c>
      <c r="W188" s="40">
        <f>claims!E188</f>
        <v>0</v>
      </c>
      <c r="X188" s="40">
        <f>claims!F188</f>
        <v>0</v>
      </c>
      <c r="Z188" s="7">
        <f t="shared" si="31"/>
        <v>0</v>
      </c>
      <c r="AA188" s="7">
        <f t="shared" si="32"/>
        <v>0</v>
      </c>
      <c r="AB188" s="7">
        <f t="shared" si="33"/>
        <v>0</v>
      </c>
      <c r="AD188" s="7">
        <f t="shared" si="34"/>
        <v>0</v>
      </c>
    </row>
    <row r="189" spans="1:30" outlineLevel="1">
      <c r="A189" s="1" t="s">
        <v>292</v>
      </c>
      <c r="B189" s="1" t="s">
        <v>293</v>
      </c>
      <c r="C189" s="22"/>
      <c r="D189" s="5" t="s">
        <v>293</v>
      </c>
      <c r="E189" s="22"/>
      <c r="F189" s="5">
        <v>11</v>
      </c>
      <c r="G189" s="5">
        <f t="shared" si="37"/>
        <v>11</v>
      </c>
      <c r="H189" s="22"/>
      <c r="I189" s="5" t="s">
        <v>293</v>
      </c>
      <c r="J189" s="22"/>
      <c r="K189" s="5">
        <v>12</v>
      </c>
      <c r="L189" s="5">
        <f t="shared" si="38"/>
        <v>12</v>
      </c>
      <c r="M189" s="22"/>
      <c r="N189" s="5" t="s">
        <v>293</v>
      </c>
      <c r="O189" s="22"/>
      <c r="P189" s="5">
        <v>11</v>
      </c>
      <c r="Q189" s="5">
        <f t="shared" si="36"/>
        <v>11</v>
      </c>
      <c r="R189" s="2">
        <f t="shared" si="35"/>
        <v>11.333333333333334</v>
      </c>
      <c r="T189" s="7">
        <f t="shared" si="25"/>
        <v>6.2401205356365309E-5</v>
      </c>
      <c r="V189" s="40">
        <f>claims!D189</f>
        <v>0</v>
      </c>
      <c r="W189" s="40">
        <f>claims!E189</f>
        <v>0</v>
      </c>
      <c r="X189" s="40">
        <f>claims!F189</f>
        <v>0</v>
      </c>
      <c r="Z189" s="7">
        <f t="shared" si="31"/>
        <v>0</v>
      </c>
      <c r="AA189" s="7">
        <f t="shared" si="32"/>
        <v>0</v>
      </c>
      <c r="AB189" s="7">
        <f t="shared" si="33"/>
        <v>0</v>
      </c>
      <c r="AD189" s="7">
        <f t="shared" si="34"/>
        <v>0</v>
      </c>
    </row>
    <row r="190" spans="1:30" outlineLevel="1">
      <c r="A190" s="1" t="s">
        <v>294</v>
      </c>
      <c r="B190" s="1" t="s">
        <v>295</v>
      </c>
      <c r="C190" s="22"/>
      <c r="D190" s="5" t="s">
        <v>295</v>
      </c>
      <c r="E190" s="22"/>
      <c r="F190" s="5">
        <v>196</v>
      </c>
      <c r="G190" s="5">
        <f t="shared" si="37"/>
        <v>196</v>
      </c>
      <c r="H190" s="22"/>
      <c r="I190" s="5" t="s">
        <v>295</v>
      </c>
      <c r="J190" s="22"/>
      <c r="K190" s="5">
        <v>199</v>
      </c>
      <c r="L190" s="5">
        <f t="shared" si="38"/>
        <v>199</v>
      </c>
      <c r="M190" s="22"/>
      <c r="N190" s="5" t="s">
        <v>295</v>
      </c>
      <c r="O190" s="22"/>
      <c r="P190" s="5">
        <v>206</v>
      </c>
      <c r="Q190" s="5">
        <f t="shared" si="36"/>
        <v>206</v>
      </c>
      <c r="R190" s="2">
        <f t="shared" si="35"/>
        <v>202</v>
      </c>
      <c r="T190" s="7">
        <f t="shared" si="25"/>
        <v>1.1122097189987465E-3</v>
      </c>
      <c r="V190" s="40">
        <f>claims!D190</f>
        <v>1</v>
      </c>
      <c r="W190" s="40">
        <f>claims!E190</f>
        <v>1</v>
      </c>
      <c r="X190" s="40">
        <f>claims!F190</f>
        <v>1</v>
      </c>
      <c r="Z190" s="7">
        <f t="shared" si="31"/>
        <v>5.1020408163265302E-3</v>
      </c>
      <c r="AA190" s="7">
        <f t="shared" si="32"/>
        <v>5.0251256281407036E-3</v>
      </c>
      <c r="AB190" s="7">
        <f t="shared" si="33"/>
        <v>4.8543689320388345E-3</v>
      </c>
      <c r="AD190" s="7">
        <f t="shared" si="34"/>
        <v>4.9525664781207403E-3</v>
      </c>
    </row>
    <row r="191" spans="1:30" outlineLevel="1">
      <c r="A191" s="1" t="s">
        <v>296</v>
      </c>
      <c r="B191" s="1" t="s">
        <v>297</v>
      </c>
      <c r="C191" s="22"/>
      <c r="D191" s="5" t="s">
        <v>297</v>
      </c>
      <c r="E191" s="22"/>
      <c r="F191" s="5">
        <v>12</v>
      </c>
      <c r="G191" s="5">
        <f t="shared" si="37"/>
        <v>12</v>
      </c>
      <c r="H191" s="22"/>
      <c r="I191" s="5" t="s">
        <v>297</v>
      </c>
      <c r="J191" s="22"/>
      <c r="K191" s="5">
        <v>11</v>
      </c>
      <c r="L191" s="5">
        <f t="shared" si="38"/>
        <v>11</v>
      </c>
      <c r="M191" s="22"/>
      <c r="N191" s="5" t="s">
        <v>297</v>
      </c>
      <c r="O191" s="22"/>
      <c r="P191" s="5">
        <v>12</v>
      </c>
      <c r="Q191" s="5">
        <f t="shared" si="36"/>
        <v>12</v>
      </c>
      <c r="R191" s="2">
        <f t="shared" si="35"/>
        <v>11.666666666666666</v>
      </c>
      <c r="T191" s="7">
        <f t="shared" si="25"/>
        <v>6.4236534925670165E-5</v>
      </c>
      <c r="V191" s="40">
        <f>claims!D191</f>
        <v>0</v>
      </c>
      <c r="W191" s="40">
        <f>claims!E191</f>
        <v>0</v>
      </c>
      <c r="X191" s="40">
        <f>claims!F191</f>
        <v>0</v>
      </c>
      <c r="Z191" s="7">
        <f t="shared" si="31"/>
        <v>0</v>
      </c>
      <c r="AA191" s="7">
        <f t="shared" si="32"/>
        <v>0</v>
      </c>
      <c r="AB191" s="7">
        <f t="shared" si="33"/>
        <v>0</v>
      </c>
      <c r="AD191" s="7">
        <f t="shared" si="34"/>
        <v>0</v>
      </c>
    </row>
    <row r="192" spans="1:30" outlineLevel="1">
      <c r="A192" s="1" t="s">
        <v>298</v>
      </c>
      <c r="B192" s="1" t="s">
        <v>299</v>
      </c>
      <c r="C192" s="22"/>
      <c r="D192" s="5" t="s">
        <v>299</v>
      </c>
      <c r="E192" s="22"/>
      <c r="F192" s="5">
        <v>5</v>
      </c>
      <c r="G192" s="5">
        <f t="shared" si="37"/>
        <v>5</v>
      </c>
      <c r="H192" s="22"/>
      <c r="I192" s="5" t="s">
        <v>299</v>
      </c>
      <c r="J192" s="22"/>
      <c r="K192" s="5">
        <v>5.5</v>
      </c>
      <c r="L192" s="5">
        <f t="shared" si="38"/>
        <v>5.5</v>
      </c>
      <c r="M192" s="22"/>
      <c r="N192" s="5" t="s">
        <v>299</v>
      </c>
      <c r="O192" s="22"/>
      <c r="P192" s="5">
        <v>6</v>
      </c>
      <c r="Q192" s="5">
        <f t="shared" si="36"/>
        <v>6</v>
      </c>
      <c r="R192" s="2">
        <f t="shared" si="35"/>
        <v>5.666666666666667</v>
      </c>
      <c r="T192" s="7">
        <f t="shared" si="25"/>
        <v>3.1200602678182655E-5</v>
      </c>
      <c r="V192" s="40">
        <f>claims!D192</f>
        <v>0</v>
      </c>
      <c r="W192" s="40">
        <f>claims!E192</f>
        <v>0</v>
      </c>
      <c r="X192" s="40">
        <f>claims!F192</f>
        <v>0</v>
      </c>
      <c r="Z192" s="7">
        <f t="shared" si="31"/>
        <v>0</v>
      </c>
      <c r="AA192" s="7">
        <f t="shared" si="32"/>
        <v>0</v>
      </c>
      <c r="AB192" s="7">
        <f t="shared" si="33"/>
        <v>0</v>
      </c>
      <c r="AD192" s="7">
        <f t="shared" si="34"/>
        <v>0</v>
      </c>
    </row>
    <row r="193" spans="1:30" outlineLevel="1">
      <c r="A193" s="1" t="s">
        <v>300</v>
      </c>
      <c r="B193" s="1" t="s">
        <v>301</v>
      </c>
      <c r="C193" s="22"/>
      <c r="D193" s="5" t="s">
        <v>301</v>
      </c>
      <c r="E193" s="22"/>
      <c r="F193" s="5">
        <v>13.5</v>
      </c>
      <c r="G193" s="5">
        <f t="shared" si="37"/>
        <v>13.5</v>
      </c>
      <c r="H193" s="22"/>
      <c r="I193" s="5" t="s">
        <v>301</v>
      </c>
      <c r="J193" s="22"/>
      <c r="K193" s="5">
        <v>13.5</v>
      </c>
      <c r="L193" s="5">
        <f t="shared" si="38"/>
        <v>13.5</v>
      </c>
      <c r="M193" s="22"/>
      <c r="N193" s="5" t="s">
        <v>301</v>
      </c>
      <c r="O193" s="22"/>
      <c r="P193" s="5">
        <v>13.5</v>
      </c>
      <c r="Q193" s="5">
        <f t="shared" si="36"/>
        <v>13.5</v>
      </c>
      <c r="R193" s="2">
        <f t="shared" si="35"/>
        <v>13.5</v>
      </c>
      <c r="T193" s="7">
        <f t="shared" si="25"/>
        <v>7.4330847556846905E-5</v>
      </c>
      <c r="V193" s="40">
        <f>claims!D193</f>
        <v>0</v>
      </c>
      <c r="W193" s="40">
        <f>claims!E193</f>
        <v>0</v>
      </c>
      <c r="X193" s="40">
        <f>claims!F193</f>
        <v>0</v>
      </c>
      <c r="Z193" s="7">
        <f t="shared" si="31"/>
        <v>0</v>
      </c>
      <c r="AA193" s="7">
        <f t="shared" si="32"/>
        <v>0</v>
      </c>
      <c r="AB193" s="7">
        <f t="shared" si="33"/>
        <v>0</v>
      </c>
      <c r="AD193" s="7">
        <f t="shared" si="34"/>
        <v>0</v>
      </c>
    </row>
    <row r="194" spans="1:30" outlineLevel="1">
      <c r="A194" s="1" t="s">
        <v>302</v>
      </c>
      <c r="B194" s="1" t="s">
        <v>303</v>
      </c>
      <c r="C194" s="22"/>
      <c r="D194" s="5" t="s">
        <v>303</v>
      </c>
      <c r="E194" s="22"/>
      <c r="F194" s="5">
        <v>12</v>
      </c>
      <c r="G194" s="5">
        <f t="shared" si="37"/>
        <v>12</v>
      </c>
      <c r="H194" s="22"/>
      <c r="I194" s="5" t="s">
        <v>303</v>
      </c>
      <c r="J194" s="22"/>
      <c r="K194" s="5">
        <v>12</v>
      </c>
      <c r="L194" s="5">
        <f t="shared" si="38"/>
        <v>12</v>
      </c>
      <c r="M194" s="22"/>
      <c r="N194" s="5" t="s">
        <v>303</v>
      </c>
      <c r="O194" s="22"/>
      <c r="P194" s="5">
        <v>14</v>
      </c>
      <c r="Q194" s="5">
        <f t="shared" si="36"/>
        <v>14</v>
      </c>
      <c r="R194" s="2">
        <f t="shared" si="35"/>
        <v>13</v>
      </c>
      <c r="T194" s="7">
        <f t="shared" si="25"/>
        <v>7.1577853202889615E-5</v>
      </c>
      <c r="V194" s="40">
        <f>claims!D194</f>
        <v>0</v>
      </c>
      <c r="W194" s="40">
        <f>claims!E194</f>
        <v>0</v>
      </c>
      <c r="X194" s="40">
        <f>claims!F194</f>
        <v>0</v>
      </c>
      <c r="Z194" s="7">
        <f t="shared" si="31"/>
        <v>0</v>
      </c>
      <c r="AA194" s="7">
        <f t="shared" si="32"/>
        <v>0</v>
      </c>
      <c r="AB194" s="7">
        <f t="shared" si="33"/>
        <v>0</v>
      </c>
      <c r="AD194" s="7">
        <f t="shared" si="34"/>
        <v>0</v>
      </c>
    </row>
    <row r="195" spans="1:30" outlineLevel="1">
      <c r="A195" s="1" t="s">
        <v>304</v>
      </c>
      <c r="B195" s="1" t="s">
        <v>305</v>
      </c>
      <c r="C195" s="22"/>
      <c r="D195" s="5" t="s">
        <v>305</v>
      </c>
      <c r="E195" s="22"/>
      <c r="F195" s="5">
        <v>7</v>
      </c>
      <c r="G195" s="5">
        <f t="shared" si="37"/>
        <v>7</v>
      </c>
      <c r="H195" s="22"/>
      <c r="I195" s="5" t="s">
        <v>305</v>
      </c>
      <c r="J195" s="22"/>
      <c r="K195" s="5">
        <v>8</v>
      </c>
      <c r="L195" s="5">
        <f t="shared" si="38"/>
        <v>8</v>
      </c>
      <c r="M195" s="22"/>
      <c r="N195" s="5" t="s">
        <v>305</v>
      </c>
      <c r="O195" s="22"/>
      <c r="P195" s="5">
        <v>8</v>
      </c>
      <c r="Q195" s="5">
        <f t="shared" si="36"/>
        <v>8</v>
      </c>
      <c r="R195" s="2">
        <f t="shared" si="35"/>
        <v>7.833333333333333</v>
      </c>
      <c r="T195" s="7">
        <f t="shared" si="25"/>
        <v>4.3130244878664257E-5</v>
      </c>
      <c r="V195" s="40">
        <f>claims!D195</f>
        <v>0</v>
      </c>
      <c r="W195" s="40">
        <f>claims!E195</f>
        <v>1</v>
      </c>
      <c r="X195" s="40">
        <f>claims!F195</f>
        <v>0</v>
      </c>
      <c r="Z195" s="7">
        <f t="shared" si="31"/>
        <v>0</v>
      </c>
      <c r="AA195" s="7">
        <f t="shared" si="32"/>
        <v>0.01</v>
      </c>
      <c r="AB195" s="7">
        <f t="shared" si="33"/>
        <v>0</v>
      </c>
      <c r="AD195" s="7">
        <f t="shared" si="34"/>
        <v>3.3333333333333335E-3</v>
      </c>
    </row>
    <row r="196" spans="1:30" outlineLevel="1">
      <c r="A196" s="1" t="s">
        <v>306</v>
      </c>
      <c r="B196" s="1" t="s">
        <v>307</v>
      </c>
      <c r="C196" s="22"/>
      <c r="D196" s="5" t="s">
        <v>307</v>
      </c>
      <c r="E196" s="22"/>
      <c r="F196" s="5">
        <v>14</v>
      </c>
      <c r="G196" s="5">
        <f t="shared" si="37"/>
        <v>14</v>
      </c>
      <c r="H196" s="22"/>
      <c r="I196" s="5" t="s">
        <v>307</v>
      </c>
      <c r="J196" s="22"/>
      <c r="K196" s="5">
        <v>14</v>
      </c>
      <c r="L196" s="5">
        <f t="shared" si="38"/>
        <v>14</v>
      </c>
      <c r="M196" s="22"/>
      <c r="N196" s="5" t="s">
        <v>307</v>
      </c>
      <c r="O196" s="22"/>
      <c r="P196" s="5">
        <v>15</v>
      </c>
      <c r="Q196" s="5">
        <f t="shared" si="36"/>
        <v>15</v>
      </c>
      <c r="R196" s="2">
        <f t="shared" si="35"/>
        <v>14.5</v>
      </c>
      <c r="T196" s="7">
        <f t="shared" si="25"/>
        <v>7.9836836264761499E-5</v>
      </c>
      <c r="V196" s="40">
        <f>claims!D196</f>
        <v>0</v>
      </c>
      <c r="W196" s="40">
        <f>claims!E196</f>
        <v>0</v>
      </c>
      <c r="X196" s="40">
        <f>claims!F196</f>
        <v>0</v>
      </c>
      <c r="Z196" s="7">
        <f t="shared" si="31"/>
        <v>0</v>
      </c>
      <c r="AA196" s="7">
        <f t="shared" si="32"/>
        <v>0</v>
      </c>
      <c r="AB196" s="7">
        <f t="shared" si="33"/>
        <v>0</v>
      </c>
      <c r="AD196" s="7">
        <f t="shared" si="34"/>
        <v>0</v>
      </c>
    </row>
    <row r="197" spans="1:30" outlineLevel="1">
      <c r="A197" s="1" t="s">
        <v>308</v>
      </c>
      <c r="B197" s="1" t="s">
        <v>309</v>
      </c>
      <c r="C197" s="22"/>
      <c r="D197" s="5" t="s">
        <v>309</v>
      </c>
      <c r="E197" s="22"/>
      <c r="F197" s="5">
        <v>5</v>
      </c>
      <c r="G197" s="5">
        <f t="shared" si="37"/>
        <v>5</v>
      </c>
      <c r="H197" s="22"/>
      <c r="I197" s="5" t="s">
        <v>309</v>
      </c>
      <c r="J197" s="22"/>
      <c r="K197" s="5">
        <v>6</v>
      </c>
      <c r="L197" s="5">
        <f t="shared" si="38"/>
        <v>6</v>
      </c>
      <c r="M197" s="22"/>
      <c r="N197" s="5" t="s">
        <v>309</v>
      </c>
      <c r="O197" s="22"/>
      <c r="P197" s="5">
        <v>6</v>
      </c>
      <c r="Q197" s="5">
        <f t="shared" si="36"/>
        <v>6</v>
      </c>
      <c r="R197" s="2">
        <f t="shared" si="35"/>
        <v>5.833333333333333</v>
      </c>
      <c r="T197" s="7">
        <f t="shared" ref="T197:T261" si="39">+R197/$R$264</f>
        <v>3.2118267462835083E-5</v>
      </c>
      <c r="V197" s="40">
        <f>claims!D197</f>
        <v>1</v>
      </c>
      <c r="W197" s="40">
        <f>claims!E197</f>
        <v>1</v>
      </c>
      <c r="X197" s="40">
        <f>claims!F197</f>
        <v>0</v>
      </c>
      <c r="Z197" s="7">
        <f t="shared" si="31"/>
        <v>0.01</v>
      </c>
      <c r="AA197" s="7">
        <f t="shared" si="32"/>
        <v>0.01</v>
      </c>
      <c r="AB197" s="7">
        <f t="shared" si="33"/>
        <v>0</v>
      </c>
      <c r="AD197" s="7">
        <f t="shared" si="34"/>
        <v>5.0000000000000001E-3</v>
      </c>
    </row>
    <row r="198" spans="1:30" outlineLevel="1">
      <c r="A198" s="1" t="s">
        <v>310</v>
      </c>
      <c r="B198" s="1" t="s">
        <v>560</v>
      </c>
      <c r="C198" s="22"/>
      <c r="D198" s="5" t="s">
        <v>311</v>
      </c>
      <c r="E198" s="22"/>
      <c r="F198" s="5">
        <f>21+4</f>
        <v>25</v>
      </c>
      <c r="G198" s="5">
        <f t="shared" si="37"/>
        <v>25</v>
      </c>
      <c r="H198" s="22"/>
      <c r="I198" s="5" t="s">
        <v>311</v>
      </c>
      <c r="J198" s="22"/>
      <c r="K198" s="5">
        <f>19.5+3.5</f>
        <v>23</v>
      </c>
      <c r="L198" s="5">
        <f t="shared" si="38"/>
        <v>23</v>
      </c>
      <c r="M198" s="22"/>
      <c r="N198" s="5" t="s">
        <v>311</v>
      </c>
      <c r="O198" s="22"/>
      <c r="P198" s="5">
        <v>23</v>
      </c>
      <c r="Q198" s="5">
        <f t="shared" si="36"/>
        <v>23</v>
      </c>
      <c r="R198" s="2">
        <f t="shared" si="35"/>
        <v>23.333333333333332</v>
      </c>
      <c r="T198" s="7">
        <f t="shared" si="39"/>
        <v>1.2847306985134033E-4</v>
      </c>
      <c r="V198" s="40">
        <f>claims!D198</f>
        <v>0</v>
      </c>
      <c r="W198" s="40">
        <f>claims!E198</f>
        <v>0</v>
      </c>
      <c r="X198" s="40">
        <f>claims!F198</f>
        <v>0</v>
      </c>
      <c r="Z198" s="7">
        <f t="shared" si="31"/>
        <v>0</v>
      </c>
      <c r="AA198" s="7">
        <f t="shared" si="32"/>
        <v>0</v>
      </c>
      <c r="AB198" s="7">
        <f t="shared" si="33"/>
        <v>0</v>
      </c>
      <c r="AD198" s="7">
        <f t="shared" si="34"/>
        <v>0</v>
      </c>
    </row>
    <row r="199" spans="1:30" outlineLevel="1">
      <c r="A199" s="1" t="s">
        <v>312</v>
      </c>
      <c r="B199" s="1" t="s">
        <v>313</v>
      </c>
      <c r="C199" s="22"/>
      <c r="D199" s="5" t="s">
        <v>313</v>
      </c>
      <c r="E199" s="22"/>
      <c r="F199" s="5">
        <v>69.5</v>
      </c>
      <c r="G199" s="5">
        <f t="shared" si="37"/>
        <v>69.5</v>
      </c>
      <c r="H199" s="22"/>
      <c r="I199" s="5" t="s">
        <v>313</v>
      </c>
      <c r="J199" s="22"/>
      <c r="K199" s="5">
        <v>71</v>
      </c>
      <c r="L199" s="5">
        <f t="shared" si="38"/>
        <v>71</v>
      </c>
      <c r="M199" s="22"/>
      <c r="N199" s="5" t="s">
        <v>313</v>
      </c>
      <c r="O199" s="22"/>
      <c r="P199" s="5">
        <v>73</v>
      </c>
      <c r="Q199" s="5">
        <f t="shared" si="36"/>
        <v>73</v>
      </c>
      <c r="R199" s="2">
        <f t="shared" si="35"/>
        <v>71.75</v>
      </c>
      <c r="T199" s="7">
        <f t="shared" si="39"/>
        <v>3.9505468979287152E-4</v>
      </c>
      <c r="V199" s="40">
        <f>claims!D199</f>
        <v>1</v>
      </c>
      <c r="W199" s="40">
        <f>claims!E199</f>
        <v>0</v>
      </c>
      <c r="X199" s="40">
        <f>claims!F199</f>
        <v>0</v>
      </c>
      <c r="Z199" s="7">
        <f t="shared" si="31"/>
        <v>0.01</v>
      </c>
      <c r="AA199" s="7">
        <f t="shared" si="32"/>
        <v>0</v>
      </c>
      <c r="AB199" s="7">
        <f t="shared" si="33"/>
        <v>0</v>
      </c>
      <c r="AD199" s="7">
        <f t="shared" si="34"/>
        <v>1.6666666666666668E-3</v>
      </c>
    </row>
    <row r="200" spans="1:30" outlineLevel="1">
      <c r="A200" s="1" t="s">
        <v>314</v>
      </c>
      <c r="B200" s="1" t="s">
        <v>315</v>
      </c>
      <c r="C200" s="22"/>
      <c r="D200" s="5" t="s">
        <v>315</v>
      </c>
      <c r="E200" s="22"/>
      <c r="F200" s="5">
        <v>15</v>
      </c>
      <c r="G200" s="5">
        <f t="shared" si="37"/>
        <v>15</v>
      </c>
      <c r="H200" s="22"/>
      <c r="I200" s="5" t="s">
        <v>315</v>
      </c>
      <c r="J200" s="22"/>
      <c r="K200" s="5">
        <v>19</v>
      </c>
      <c r="L200" s="5">
        <f t="shared" si="38"/>
        <v>19</v>
      </c>
      <c r="M200" s="22"/>
      <c r="N200" s="5" t="s">
        <v>315</v>
      </c>
      <c r="O200" s="22"/>
      <c r="P200" s="5">
        <v>17</v>
      </c>
      <c r="Q200" s="5">
        <f t="shared" si="36"/>
        <v>17</v>
      </c>
      <c r="R200" s="2">
        <f t="shared" si="35"/>
        <v>17.333333333333332</v>
      </c>
      <c r="T200" s="7">
        <f t="shared" si="39"/>
        <v>9.543713760385282E-5</v>
      </c>
      <c r="V200" s="40">
        <f>claims!D200</f>
        <v>0</v>
      </c>
      <c r="W200" s="40">
        <f>claims!E200</f>
        <v>0</v>
      </c>
      <c r="X200" s="40">
        <f>claims!F200</f>
        <v>0</v>
      </c>
      <c r="Z200" s="7">
        <f t="shared" si="31"/>
        <v>0</v>
      </c>
      <c r="AA200" s="7">
        <f t="shared" si="32"/>
        <v>0</v>
      </c>
      <c r="AB200" s="7">
        <f t="shared" si="33"/>
        <v>0</v>
      </c>
      <c r="AD200" s="7">
        <f t="shared" si="34"/>
        <v>0</v>
      </c>
    </row>
    <row r="201" spans="1:30" outlineLevel="1">
      <c r="A201" s="1" t="s">
        <v>316</v>
      </c>
      <c r="B201" s="1" t="s">
        <v>317</v>
      </c>
      <c r="C201" s="22"/>
      <c r="D201" s="5" t="s">
        <v>317</v>
      </c>
      <c r="E201" s="22"/>
      <c r="F201" s="5">
        <v>49.5</v>
      </c>
      <c r="G201" s="5">
        <f t="shared" si="37"/>
        <v>49.5</v>
      </c>
      <c r="H201" s="22"/>
      <c r="I201" s="5" t="s">
        <v>317</v>
      </c>
      <c r="J201" s="22"/>
      <c r="K201" s="5">
        <v>53</v>
      </c>
      <c r="L201" s="5">
        <f t="shared" si="38"/>
        <v>53</v>
      </c>
      <c r="M201" s="22"/>
      <c r="N201" s="5" t="s">
        <v>317</v>
      </c>
      <c r="O201" s="22"/>
      <c r="P201" s="5">
        <v>55.5</v>
      </c>
      <c r="Q201" s="5">
        <f t="shared" si="36"/>
        <v>55.5</v>
      </c>
      <c r="R201" s="2">
        <f t="shared" si="35"/>
        <v>53.666666666666664</v>
      </c>
      <c r="T201" s="7">
        <f t="shared" si="39"/>
        <v>2.9548806065808278E-4</v>
      </c>
      <c r="V201" s="40">
        <f>claims!D201</f>
        <v>1</v>
      </c>
      <c r="W201" s="40">
        <f>claims!E201</f>
        <v>1</v>
      </c>
      <c r="X201" s="40">
        <f>claims!F201</f>
        <v>0</v>
      </c>
      <c r="Z201" s="7">
        <f t="shared" si="31"/>
        <v>0.01</v>
      </c>
      <c r="AA201" s="7">
        <f t="shared" si="32"/>
        <v>0.01</v>
      </c>
      <c r="AB201" s="7">
        <f t="shared" si="33"/>
        <v>0</v>
      </c>
      <c r="AD201" s="7">
        <f t="shared" si="34"/>
        <v>5.0000000000000001E-3</v>
      </c>
    </row>
    <row r="202" spans="1:30" outlineLevel="1">
      <c r="A202" s="1" t="s">
        <v>318</v>
      </c>
      <c r="B202" s="1" t="s">
        <v>319</v>
      </c>
      <c r="C202" s="22"/>
      <c r="D202" s="5" t="s">
        <v>319</v>
      </c>
      <c r="E202" s="22"/>
      <c r="F202" s="5">
        <v>6.5</v>
      </c>
      <c r="G202" s="5">
        <f t="shared" si="37"/>
        <v>6.5</v>
      </c>
      <c r="H202" s="22"/>
      <c r="I202" s="5" t="s">
        <v>319</v>
      </c>
      <c r="J202" s="22"/>
      <c r="K202" s="5">
        <v>7.5</v>
      </c>
      <c r="L202" s="5">
        <f t="shared" si="38"/>
        <v>7.5</v>
      </c>
      <c r="M202" s="22"/>
      <c r="N202" s="5" t="s">
        <v>319</v>
      </c>
      <c r="O202" s="22"/>
      <c r="P202" s="5">
        <v>7.5</v>
      </c>
      <c r="Q202" s="5">
        <f t="shared" si="36"/>
        <v>7.5</v>
      </c>
      <c r="R202" s="2">
        <f t="shared" si="35"/>
        <v>7.333333333333333</v>
      </c>
      <c r="T202" s="7">
        <f t="shared" si="39"/>
        <v>4.037725052470696E-5</v>
      </c>
      <c r="V202" s="40">
        <f>claims!D202</f>
        <v>0</v>
      </c>
      <c r="W202" s="40">
        <f>claims!E202</f>
        <v>0</v>
      </c>
      <c r="X202" s="40">
        <f>claims!F202</f>
        <v>0</v>
      </c>
      <c r="Z202" s="7">
        <f t="shared" si="31"/>
        <v>0</v>
      </c>
      <c r="AA202" s="7">
        <f t="shared" si="32"/>
        <v>0</v>
      </c>
      <c r="AB202" s="7">
        <f t="shared" si="33"/>
        <v>0</v>
      </c>
      <c r="AD202" s="7">
        <f t="shared" si="34"/>
        <v>0</v>
      </c>
    </row>
    <row r="203" spans="1:30" outlineLevel="1">
      <c r="A203" s="1" t="s">
        <v>320</v>
      </c>
      <c r="B203" s="1" t="s">
        <v>321</v>
      </c>
      <c r="C203" s="22"/>
      <c r="D203" s="5" t="s">
        <v>321</v>
      </c>
      <c r="E203" s="22"/>
      <c r="F203" s="5">
        <v>20</v>
      </c>
      <c r="G203" s="5">
        <f t="shared" si="37"/>
        <v>20</v>
      </c>
      <c r="H203" s="22"/>
      <c r="I203" s="5" t="s">
        <v>321</v>
      </c>
      <c r="J203" s="22"/>
      <c r="K203" s="5">
        <v>23</v>
      </c>
      <c r="L203" s="5">
        <f t="shared" si="38"/>
        <v>23</v>
      </c>
      <c r="M203" s="22"/>
      <c r="N203" s="5" t="s">
        <v>321</v>
      </c>
      <c r="O203" s="22"/>
      <c r="P203" s="5">
        <v>26</v>
      </c>
      <c r="Q203" s="5">
        <f t="shared" si="36"/>
        <v>26</v>
      </c>
      <c r="R203" s="2">
        <f t="shared" ref="R203:R233" si="40">IF(G203&gt;0,(+G203+(L203*2)+(Q203*3))/6,IF(L203&gt;0,((L203*2)+(Q203*3))/5,Q203))</f>
        <v>24</v>
      </c>
      <c r="T203" s="7">
        <f t="shared" si="39"/>
        <v>1.3214372898995007E-4</v>
      </c>
      <c r="V203" s="40">
        <f>claims!D203</f>
        <v>0</v>
      </c>
      <c r="W203" s="40">
        <f>claims!E203</f>
        <v>0</v>
      </c>
      <c r="X203" s="40">
        <f>claims!F203</f>
        <v>0</v>
      </c>
      <c r="Z203" s="7">
        <f t="shared" si="31"/>
        <v>0</v>
      </c>
      <c r="AA203" s="7">
        <f t="shared" si="32"/>
        <v>0</v>
      </c>
      <c r="AB203" s="7">
        <f t="shared" si="33"/>
        <v>0</v>
      </c>
      <c r="AD203" s="7">
        <f t="shared" si="34"/>
        <v>0</v>
      </c>
    </row>
    <row r="204" spans="1:30" outlineLevel="1">
      <c r="A204" s="1" t="s">
        <v>492</v>
      </c>
      <c r="B204" s="1" t="s">
        <v>490</v>
      </c>
      <c r="C204" s="22"/>
      <c r="D204" s="5" t="s">
        <v>490</v>
      </c>
      <c r="E204" s="22"/>
      <c r="F204" s="5">
        <v>6.5</v>
      </c>
      <c r="G204" s="5">
        <f t="shared" si="37"/>
        <v>6.5</v>
      </c>
      <c r="H204" s="22"/>
      <c r="I204" s="5" t="s">
        <v>490</v>
      </c>
      <c r="J204" s="22"/>
      <c r="K204" s="5">
        <v>8.5</v>
      </c>
      <c r="L204" s="5">
        <f t="shared" si="38"/>
        <v>8.5</v>
      </c>
      <c r="M204" s="22"/>
      <c r="N204" s="5" t="s">
        <v>490</v>
      </c>
      <c r="O204" s="22"/>
      <c r="P204" s="5">
        <v>8</v>
      </c>
      <c r="Q204" s="5">
        <f t="shared" ref="Q204:Q234" si="41">AVERAGE(M204:P204)</f>
        <v>8</v>
      </c>
      <c r="R204" s="2">
        <f t="shared" si="40"/>
        <v>7.916666666666667</v>
      </c>
      <c r="T204" s="7">
        <f t="shared" si="39"/>
        <v>4.3589077270990474E-5</v>
      </c>
      <c r="V204" s="40">
        <f>claims!D204</f>
        <v>0</v>
      </c>
      <c r="W204" s="40">
        <f>claims!E204</f>
        <v>0</v>
      </c>
      <c r="X204" s="40">
        <f>claims!F204</f>
        <v>0</v>
      </c>
      <c r="Z204" s="7">
        <f t="shared" ref="Z204:Z262" si="42">IF(G204&gt;100,IF(V204&lt;1,0,+V204/G204),IF(V204&lt;1,0,+V204/100))</f>
        <v>0</v>
      </c>
      <c r="AA204" s="7">
        <f t="shared" ref="AA204:AA262" si="43">IF(L204&gt;100,IF(W204&lt;1,0,+W204/L204),IF(W204&lt;1,0,+W204/100))</f>
        <v>0</v>
      </c>
      <c r="AB204" s="7">
        <f t="shared" ref="AB204:AB262" si="44">IF(Q204&gt;100,IF(X204&lt;1,0,+X204/Q204),IF(X204&lt;1,0,+X204/100))</f>
        <v>0</v>
      </c>
      <c r="AD204" s="7">
        <f t="shared" ref="AD204:AD262" si="45">(+Z204+(AA204*2)+(AB204*3))/6</f>
        <v>0</v>
      </c>
    </row>
    <row r="205" spans="1:30" outlineLevel="1">
      <c r="A205" s="1" t="s">
        <v>322</v>
      </c>
      <c r="B205" s="1" t="s">
        <v>323</v>
      </c>
      <c r="C205" s="22"/>
      <c r="D205" s="5" t="s">
        <v>323</v>
      </c>
      <c r="E205" s="22"/>
      <c r="F205" s="5">
        <v>20.5</v>
      </c>
      <c r="G205" s="5">
        <f t="shared" ref="G205:G235" si="46">AVERAGE(C205:F205)</f>
        <v>20.5</v>
      </c>
      <c r="H205" s="22"/>
      <c r="I205" s="5" t="s">
        <v>323</v>
      </c>
      <c r="J205" s="22"/>
      <c r="K205" s="5">
        <v>21.5</v>
      </c>
      <c r="L205" s="5">
        <f t="shared" ref="L205:L235" si="47">AVERAGE(H205:K205)</f>
        <v>21.5</v>
      </c>
      <c r="M205" s="22"/>
      <c r="N205" s="5" t="s">
        <v>323</v>
      </c>
      <c r="O205" s="22"/>
      <c r="P205" s="5">
        <v>21.5</v>
      </c>
      <c r="Q205" s="5">
        <f t="shared" si="41"/>
        <v>21.5</v>
      </c>
      <c r="R205" s="2">
        <f t="shared" si="40"/>
        <v>21.333333333333332</v>
      </c>
      <c r="T205" s="7">
        <f t="shared" si="39"/>
        <v>1.1746109243551116E-4</v>
      </c>
      <c r="V205" s="40">
        <f>claims!D205</f>
        <v>0</v>
      </c>
      <c r="W205" s="40">
        <f>claims!E205</f>
        <v>0</v>
      </c>
      <c r="X205" s="40">
        <f>claims!F205</f>
        <v>0</v>
      </c>
      <c r="Z205" s="7">
        <f t="shared" si="42"/>
        <v>0</v>
      </c>
      <c r="AA205" s="7">
        <f t="shared" si="43"/>
        <v>0</v>
      </c>
      <c r="AB205" s="7">
        <f t="shared" si="44"/>
        <v>0</v>
      </c>
      <c r="AD205" s="7">
        <f t="shared" si="45"/>
        <v>0</v>
      </c>
    </row>
    <row r="206" spans="1:30" outlineLevel="1">
      <c r="A206" s="1" t="s">
        <v>324</v>
      </c>
      <c r="B206" s="1" t="s">
        <v>325</v>
      </c>
      <c r="C206" s="22"/>
      <c r="D206" s="5" t="s">
        <v>325</v>
      </c>
      <c r="E206" s="22"/>
      <c r="F206" s="5">
        <v>17</v>
      </c>
      <c r="G206" s="5">
        <f t="shared" si="46"/>
        <v>17</v>
      </c>
      <c r="H206" s="22"/>
      <c r="I206" s="5" t="s">
        <v>325</v>
      </c>
      <c r="J206" s="22"/>
      <c r="K206" s="5">
        <v>17</v>
      </c>
      <c r="L206" s="5">
        <f t="shared" si="47"/>
        <v>17</v>
      </c>
      <c r="M206" s="22"/>
      <c r="N206" s="5" t="s">
        <v>325</v>
      </c>
      <c r="O206" s="22"/>
      <c r="P206" s="5">
        <v>17</v>
      </c>
      <c r="Q206" s="5">
        <f t="shared" si="41"/>
        <v>17</v>
      </c>
      <c r="R206" s="2">
        <f t="shared" si="40"/>
        <v>17</v>
      </c>
      <c r="T206" s="7">
        <f t="shared" si="39"/>
        <v>9.3601808034547964E-5</v>
      </c>
      <c r="V206" s="40">
        <f>claims!D206</f>
        <v>0</v>
      </c>
      <c r="W206" s="40">
        <f>claims!E206</f>
        <v>0</v>
      </c>
      <c r="X206" s="40">
        <f>claims!F206</f>
        <v>0</v>
      </c>
      <c r="Z206" s="7">
        <f t="shared" si="42"/>
        <v>0</v>
      </c>
      <c r="AA206" s="7">
        <f t="shared" si="43"/>
        <v>0</v>
      </c>
      <c r="AB206" s="7">
        <f t="shared" si="44"/>
        <v>0</v>
      </c>
      <c r="AD206" s="7">
        <f t="shared" si="45"/>
        <v>0</v>
      </c>
    </row>
    <row r="207" spans="1:30" outlineLevel="1">
      <c r="A207" s="1" t="s">
        <v>326</v>
      </c>
      <c r="B207" s="1" t="s">
        <v>327</v>
      </c>
      <c r="C207" s="22"/>
      <c r="D207" s="5" t="s">
        <v>327</v>
      </c>
      <c r="E207" s="22"/>
      <c r="F207" s="5">
        <v>9</v>
      </c>
      <c r="G207" s="5">
        <f t="shared" si="46"/>
        <v>9</v>
      </c>
      <c r="H207" s="22"/>
      <c r="I207" s="5" t="s">
        <v>327</v>
      </c>
      <c r="J207" s="22"/>
      <c r="K207" s="5">
        <v>9</v>
      </c>
      <c r="L207" s="5">
        <f t="shared" si="47"/>
        <v>9</v>
      </c>
      <c r="M207" s="22"/>
      <c r="N207" s="5" t="s">
        <v>327</v>
      </c>
      <c r="O207" s="22"/>
      <c r="P207" s="5">
        <v>9</v>
      </c>
      <c r="Q207" s="5">
        <f t="shared" si="41"/>
        <v>9</v>
      </c>
      <c r="R207" s="2">
        <f t="shared" si="40"/>
        <v>9</v>
      </c>
      <c r="T207" s="7">
        <f t="shared" si="39"/>
        <v>4.9553898371231272E-5</v>
      </c>
      <c r="V207" s="40">
        <f>claims!D207</f>
        <v>0</v>
      </c>
      <c r="W207" s="40">
        <f>claims!E207</f>
        <v>0</v>
      </c>
      <c r="X207" s="40">
        <f>claims!F207</f>
        <v>0</v>
      </c>
      <c r="Z207" s="7">
        <f t="shared" si="42"/>
        <v>0</v>
      </c>
      <c r="AA207" s="7">
        <f t="shared" si="43"/>
        <v>0</v>
      </c>
      <c r="AB207" s="7">
        <f t="shared" si="44"/>
        <v>0</v>
      </c>
      <c r="AD207" s="7">
        <f t="shared" si="45"/>
        <v>0</v>
      </c>
    </row>
    <row r="208" spans="1:30" outlineLevel="1">
      <c r="A208" s="1" t="s">
        <v>328</v>
      </c>
      <c r="B208" s="1" t="s">
        <v>329</v>
      </c>
      <c r="C208" s="22"/>
      <c r="D208" s="5" t="s">
        <v>329</v>
      </c>
      <c r="E208" s="22"/>
      <c r="F208" s="5">
        <v>4</v>
      </c>
      <c r="G208" s="5">
        <f t="shared" si="46"/>
        <v>4</v>
      </c>
      <c r="H208" s="22"/>
      <c r="I208" s="5" t="s">
        <v>329</v>
      </c>
      <c r="J208" s="22"/>
      <c r="K208" s="5">
        <v>4</v>
      </c>
      <c r="L208" s="5">
        <f t="shared" si="47"/>
        <v>4</v>
      </c>
      <c r="M208" s="22"/>
      <c r="N208" s="5" t="s">
        <v>329</v>
      </c>
      <c r="O208" s="22"/>
      <c r="P208" s="5">
        <v>4.5</v>
      </c>
      <c r="Q208" s="5">
        <f t="shared" si="41"/>
        <v>4.5</v>
      </c>
      <c r="R208" s="2">
        <f t="shared" si="40"/>
        <v>4.25</v>
      </c>
      <c r="T208" s="7">
        <f t="shared" si="39"/>
        <v>2.3400452008636991E-5</v>
      </c>
      <c r="V208" s="40">
        <f>claims!D208</f>
        <v>0</v>
      </c>
      <c r="W208" s="40">
        <f>claims!E208</f>
        <v>0</v>
      </c>
      <c r="X208" s="40">
        <f>claims!F208</f>
        <v>0</v>
      </c>
      <c r="Z208" s="7">
        <f t="shared" si="42"/>
        <v>0</v>
      </c>
      <c r="AA208" s="7">
        <f t="shared" si="43"/>
        <v>0</v>
      </c>
      <c r="AB208" s="7">
        <f t="shared" si="44"/>
        <v>0</v>
      </c>
      <c r="AD208" s="7">
        <f t="shared" si="45"/>
        <v>0</v>
      </c>
    </row>
    <row r="209" spans="1:30" outlineLevel="1">
      <c r="A209" s="1" t="s">
        <v>330</v>
      </c>
      <c r="B209" s="1" t="s">
        <v>331</v>
      </c>
      <c r="C209" s="22"/>
      <c r="D209" s="5" t="s">
        <v>331</v>
      </c>
      <c r="E209" s="22"/>
      <c r="F209" s="5">
        <v>45.5</v>
      </c>
      <c r="G209" s="5">
        <f t="shared" si="46"/>
        <v>45.5</v>
      </c>
      <c r="H209" s="22"/>
      <c r="I209" s="5" t="s">
        <v>331</v>
      </c>
      <c r="J209" s="22"/>
      <c r="K209" s="5">
        <v>42.5</v>
      </c>
      <c r="L209" s="5">
        <f t="shared" si="47"/>
        <v>42.5</v>
      </c>
      <c r="M209" s="22"/>
      <c r="N209" s="5" t="s">
        <v>331</v>
      </c>
      <c r="O209" s="22"/>
      <c r="P209" s="5">
        <v>41.5</v>
      </c>
      <c r="Q209" s="5">
        <f t="shared" si="41"/>
        <v>41.5</v>
      </c>
      <c r="R209" s="2">
        <f t="shared" si="40"/>
        <v>42.5</v>
      </c>
      <c r="T209" s="7">
        <f t="shared" si="39"/>
        <v>2.3400452008636992E-4</v>
      </c>
      <c r="V209" s="40">
        <f>claims!D209</f>
        <v>0</v>
      </c>
      <c r="W209" s="40">
        <f>claims!E209</f>
        <v>0</v>
      </c>
      <c r="X209" s="40">
        <f>claims!F209</f>
        <v>1</v>
      </c>
      <c r="Z209" s="7">
        <f t="shared" si="42"/>
        <v>0</v>
      </c>
      <c r="AA209" s="7">
        <f t="shared" si="43"/>
        <v>0</v>
      </c>
      <c r="AB209" s="7">
        <f t="shared" si="44"/>
        <v>0.01</v>
      </c>
      <c r="AD209" s="7">
        <f t="shared" si="45"/>
        <v>5.0000000000000001E-3</v>
      </c>
    </row>
    <row r="210" spans="1:30" outlineLevel="1">
      <c r="A210" s="1" t="s">
        <v>332</v>
      </c>
      <c r="B210" s="1" t="s">
        <v>561</v>
      </c>
      <c r="C210" s="22"/>
      <c r="D210" s="5" t="s">
        <v>333</v>
      </c>
      <c r="E210" s="22"/>
      <c r="F210" s="5">
        <v>12</v>
      </c>
      <c r="G210" s="5">
        <f t="shared" si="46"/>
        <v>12</v>
      </c>
      <c r="H210" s="22"/>
      <c r="I210" s="5" t="s">
        <v>333</v>
      </c>
      <c r="J210" s="22"/>
      <c r="K210" s="5">
        <v>12</v>
      </c>
      <c r="L210" s="5">
        <f t="shared" si="47"/>
        <v>12</v>
      </c>
      <c r="M210" s="22"/>
      <c r="N210" s="5" t="s">
        <v>333</v>
      </c>
      <c r="O210" s="22"/>
      <c r="P210" s="5">
        <v>13</v>
      </c>
      <c r="Q210" s="5">
        <f t="shared" si="41"/>
        <v>13</v>
      </c>
      <c r="R210" s="2">
        <f t="shared" si="40"/>
        <v>12.5</v>
      </c>
      <c r="T210" s="7">
        <f t="shared" si="39"/>
        <v>6.8824858848932325E-5</v>
      </c>
      <c r="V210" s="40">
        <f>claims!D210</f>
        <v>0</v>
      </c>
      <c r="W210" s="40">
        <f>claims!E210</f>
        <v>0</v>
      </c>
      <c r="X210" s="40">
        <f>claims!F210</f>
        <v>0</v>
      </c>
      <c r="Z210" s="7">
        <f t="shared" si="42"/>
        <v>0</v>
      </c>
      <c r="AA210" s="7">
        <f t="shared" si="43"/>
        <v>0</v>
      </c>
      <c r="AB210" s="7">
        <f t="shared" si="44"/>
        <v>0</v>
      </c>
      <c r="AD210" s="7">
        <f t="shared" si="45"/>
        <v>0</v>
      </c>
    </row>
    <row r="211" spans="1:30" outlineLevel="1">
      <c r="A211" s="1" t="s">
        <v>334</v>
      </c>
      <c r="B211" s="1" t="s">
        <v>335</v>
      </c>
      <c r="C211" s="22"/>
      <c r="D211" s="5" t="s">
        <v>335</v>
      </c>
      <c r="E211" s="22"/>
      <c r="F211" s="5">
        <v>10.5</v>
      </c>
      <c r="G211" s="5">
        <f t="shared" si="46"/>
        <v>10.5</v>
      </c>
      <c r="H211" s="22"/>
      <c r="I211" s="5" t="s">
        <v>335</v>
      </c>
      <c r="J211" s="22"/>
      <c r="K211" s="5">
        <v>10.5</v>
      </c>
      <c r="L211" s="5">
        <f t="shared" si="47"/>
        <v>10.5</v>
      </c>
      <c r="M211" s="22"/>
      <c r="N211" s="5" t="s">
        <v>335</v>
      </c>
      <c r="O211" s="22"/>
      <c r="P211" s="5">
        <v>10.5</v>
      </c>
      <c r="Q211" s="5">
        <f t="shared" si="41"/>
        <v>10.5</v>
      </c>
      <c r="R211" s="2">
        <f t="shared" si="40"/>
        <v>10.5</v>
      </c>
      <c r="T211" s="7">
        <f t="shared" si="39"/>
        <v>5.781288143310315E-5</v>
      </c>
      <c r="V211" s="40">
        <f>claims!D211</f>
        <v>0</v>
      </c>
      <c r="W211" s="40">
        <f>claims!E211</f>
        <v>0</v>
      </c>
      <c r="X211" s="40">
        <f>claims!F211</f>
        <v>0</v>
      </c>
      <c r="Z211" s="7">
        <f t="shared" si="42"/>
        <v>0</v>
      </c>
      <c r="AA211" s="7">
        <f t="shared" si="43"/>
        <v>0</v>
      </c>
      <c r="AB211" s="7">
        <f t="shared" si="44"/>
        <v>0</v>
      </c>
      <c r="AD211" s="7">
        <f t="shared" si="45"/>
        <v>0</v>
      </c>
    </row>
    <row r="212" spans="1:30" outlineLevel="1">
      <c r="A212" s="1" t="s">
        <v>336</v>
      </c>
      <c r="B212" s="1" t="s">
        <v>337</v>
      </c>
      <c r="C212" s="22"/>
      <c r="D212" s="5" t="s">
        <v>337</v>
      </c>
      <c r="E212" s="22"/>
      <c r="F212" s="5">
        <v>115</v>
      </c>
      <c r="G212" s="5">
        <f t="shared" si="46"/>
        <v>115</v>
      </c>
      <c r="H212" s="22"/>
      <c r="I212" s="5" t="s">
        <v>337</v>
      </c>
      <c r="J212" s="22"/>
      <c r="K212" s="5">
        <v>106</v>
      </c>
      <c r="L212" s="5">
        <f t="shared" si="47"/>
        <v>106</v>
      </c>
      <c r="M212" s="22"/>
      <c r="N212" s="5" t="s">
        <v>337</v>
      </c>
      <c r="O212" s="22"/>
      <c r="P212" s="5">
        <v>110</v>
      </c>
      <c r="Q212" s="5">
        <f t="shared" si="41"/>
        <v>110</v>
      </c>
      <c r="R212" s="2">
        <f t="shared" si="40"/>
        <v>109.5</v>
      </c>
      <c r="T212" s="7">
        <f t="shared" si="39"/>
        <v>6.0290576351664719E-4</v>
      </c>
      <c r="V212" s="40">
        <f>claims!D212</f>
        <v>2</v>
      </c>
      <c r="W212" s="40">
        <f>claims!E212</f>
        <v>1</v>
      </c>
      <c r="X212" s="40">
        <f>claims!F212</f>
        <v>4</v>
      </c>
      <c r="Z212" s="7">
        <f t="shared" si="42"/>
        <v>1.7391304347826087E-2</v>
      </c>
      <c r="AA212" s="7">
        <f t="shared" si="43"/>
        <v>9.433962264150943E-3</v>
      </c>
      <c r="AB212" s="7">
        <f t="shared" si="44"/>
        <v>3.6363636363636362E-2</v>
      </c>
      <c r="AD212" s="7">
        <f t="shared" si="45"/>
        <v>2.4225022994506174E-2</v>
      </c>
    </row>
    <row r="213" spans="1:30" outlineLevel="1">
      <c r="A213" s="1" t="s">
        <v>589</v>
      </c>
      <c r="B213" s="1" t="s">
        <v>590</v>
      </c>
      <c r="C213" s="22"/>
      <c r="D213" s="5" t="s">
        <v>341</v>
      </c>
      <c r="E213" s="22"/>
      <c r="F213" s="5">
        <v>21.5</v>
      </c>
      <c r="G213" s="5">
        <f t="shared" si="46"/>
        <v>21.5</v>
      </c>
      <c r="H213" s="22"/>
      <c r="I213" s="5" t="s">
        <v>341</v>
      </c>
      <c r="J213" s="22"/>
      <c r="K213" s="5">
        <v>23.5</v>
      </c>
      <c r="L213" s="5">
        <f t="shared" si="47"/>
        <v>23.5</v>
      </c>
      <c r="M213" s="22"/>
      <c r="N213" s="5" t="s">
        <v>341</v>
      </c>
      <c r="O213" s="22"/>
      <c r="P213" s="5">
        <v>24.5</v>
      </c>
      <c r="Q213" s="5">
        <f t="shared" si="41"/>
        <v>24.5</v>
      </c>
      <c r="R213" s="2">
        <f t="shared" si="40"/>
        <v>23.666666666666668</v>
      </c>
      <c r="T213" s="7">
        <f t="shared" si="39"/>
        <v>1.303083994206452E-4</v>
      </c>
      <c r="V213" s="40">
        <f>claims!D213</f>
        <v>0</v>
      </c>
      <c r="W213" s="40">
        <f>claims!E213</f>
        <v>0</v>
      </c>
      <c r="X213" s="40">
        <f>claims!F213</f>
        <v>0</v>
      </c>
      <c r="Z213" s="7">
        <f t="shared" si="42"/>
        <v>0</v>
      </c>
      <c r="AA213" s="7">
        <f t="shared" si="43"/>
        <v>0</v>
      </c>
      <c r="AB213" s="7">
        <f t="shared" si="44"/>
        <v>0</v>
      </c>
      <c r="AD213" s="7">
        <f t="shared" si="45"/>
        <v>0</v>
      </c>
    </row>
    <row r="214" spans="1:30" outlineLevel="1">
      <c r="A214" s="1" t="s">
        <v>475</v>
      </c>
      <c r="B214" s="1" t="s">
        <v>342</v>
      </c>
      <c r="C214" s="22"/>
      <c r="D214" s="5" t="s">
        <v>342</v>
      </c>
      <c r="E214" s="22"/>
      <c r="F214" s="5">
        <v>9</v>
      </c>
      <c r="G214" s="5">
        <f t="shared" si="46"/>
        <v>9</v>
      </c>
      <c r="H214" s="22"/>
      <c r="I214" s="5" t="s">
        <v>342</v>
      </c>
      <c r="J214" s="22"/>
      <c r="K214" s="5">
        <v>9</v>
      </c>
      <c r="L214" s="5">
        <f t="shared" si="47"/>
        <v>9</v>
      </c>
      <c r="M214" s="22"/>
      <c r="N214" s="5" t="s">
        <v>342</v>
      </c>
      <c r="O214" s="22"/>
      <c r="P214" s="5">
        <v>10</v>
      </c>
      <c r="Q214" s="5">
        <f t="shared" si="41"/>
        <v>10</v>
      </c>
      <c r="R214" s="2">
        <f t="shared" si="40"/>
        <v>9.5</v>
      </c>
      <c r="T214" s="7">
        <f t="shared" si="39"/>
        <v>5.2306892725188569E-5</v>
      </c>
      <c r="V214" s="40">
        <f>claims!D214</f>
        <v>0</v>
      </c>
      <c r="W214" s="40">
        <f>claims!E214</f>
        <v>0</v>
      </c>
      <c r="X214" s="40">
        <f>claims!F214</f>
        <v>0</v>
      </c>
      <c r="Z214" s="7">
        <f t="shared" si="42"/>
        <v>0</v>
      </c>
      <c r="AA214" s="7">
        <f t="shared" si="43"/>
        <v>0</v>
      </c>
      <c r="AB214" s="7">
        <f t="shared" si="44"/>
        <v>0</v>
      </c>
      <c r="AD214" s="7">
        <f t="shared" si="45"/>
        <v>0</v>
      </c>
    </row>
    <row r="215" spans="1:30" outlineLevel="1">
      <c r="A215" s="1" t="s">
        <v>476</v>
      </c>
      <c r="B215" s="1" t="s">
        <v>338</v>
      </c>
      <c r="C215" s="22"/>
      <c r="D215" s="5" t="s">
        <v>338</v>
      </c>
      <c r="E215" s="22"/>
      <c r="F215" s="5">
        <v>4</v>
      </c>
      <c r="G215" s="5">
        <f t="shared" si="46"/>
        <v>4</v>
      </c>
      <c r="H215" s="22"/>
      <c r="I215" s="5" t="s">
        <v>338</v>
      </c>
      <c r="J215" s="22"/>
      <c r="K215" s="5">
        <v>4</v>
      </c>
      <c r="L215" s="5">
        <f t="shared" si="47"/>
        <v>4</v>
      </c>
      <c r="M215" s="22"/>
      <c r="N215" s="5" t="s">
        <v>338</v>
      </c>
      <c r="O215" s="22"/>
      <c r="P215" s="5">
        <v>5</v>
      </c>
      <c r="Q215" s="5">
        <f t="shared" si="41"/>
        <v>5</v>
      </c>
      <c r="R215" s="2">
        <f t="shared" si="40"/>
        <v>4.5</v>
      </c>
      <c r="T215" s="7">
        <f t="shared" si="39"/>
        <v>2.4776949185615636E-5</v>
      </c>
      <c r="V215" s="40">
        <f>claims!D215</f>
        <v>0</v>
      </c>
      <c r="W215" s="40">
        <f>claims!E215</f>
        <v>0</v>
      </c>
      <c r="X215" s="40">
        <f>claims!F215</f>
        <v>0</v>
      </c>
      <c r="Z215" s="7">
        <f t="shared" si="42"/>
        <v>0</v>
      </c>
      <c r="AA215" s="7">
        <f t="shared" si="43"/>
        <v>0</v>
      </c>
      <c r="AB215" s="7">
        <f t="shared" si="44"/>
        <v>0</v>
      </c>
      <c r="AD215" s="7">
        <f t="shared" si="45"/>
        <v>0</v>
      </c>
    </row>
    <row r="216" spans="1:30" outlineLevel="1">
      <c r="A216" s="1" t="s">
        <v>340</v>
      </c>
      <c r="B216" s="1" t="s">
        <v>341</v>
      </c>
      <c r="C216" s="22"/>
      <c r="D216" s="5" t="s">
        <v>339</v>
      </c>
      <c r="E216" s="22"/>
      <c r="F216" s="5">
        <v>61</v>
      </c>
      <c r="G216" s="5">
        <f t="shared" si="46"/>
        <v>61</v>
      </c>
      <c r="H216" s="22"/>
      <c r="I216" s="5" t="s">
        <v>339</v>
      </c>
      <c r="J216" s="22"/>
      <c r="K216" s="5">
        <v>63</v>
      </c>
      <c r="L216" s="5">
        <f t="shared" si="47"/>
        <v>63</v>
      </c>
      <c r="M216" s="22"/>
      <c r="N216" s="5" t="s">
        <v>339</v>
      </c>
      <c r="O216" s="22"/>
      <c r="P216" s="5">
        <v>68</v>
      </c>
      <c r="Q216" s="5">
        <f t="shared" si="41"/>
        <v>68</v>
      </c>
      <c r="R216" s="2">
        <f t="shared" si="40"/>
        <v>65.166666666666671</v>
      </c>
      <c r="T216" s="7">
        <f t="shared" si="39"/>
        <v>3.5880693079910054E-4</v>
      </c>
      <c r="V216" s="40">
        <f>claims!D216</f>
        <v>0</v>
      </c>
      <c r="W216" s="40">
        <f>claims!E216</f>
        <v>0</v>
      </c>
      <c r="X216" s="40">
        <f>claims!F216</f>
        <v>0</v>
      </c>
      <c r="Z216" s="7">
        <f t="shared" si="42"/>
        <v>0</v>
      </c>
      <c r="AA216" s="7">
        <f t="shared" si="43"/>
        <v>0</v>
      </c>
      <c r="AB216" s="7">
        <f t="shared" si="44"/>
        <v>0</v>
      </c>
      <c r="AD216" s="7">
        <f t="shared" si="45"/>
        <v>0</v>
      </c>
    </row>
    <row r="217" spans="1:30" outlineLevel="1">
      <c r="A217" s="1" t="s">
        <v>343</v>
      </c>
      <c r="B217" s="1" t="s">
        <v>344</v>
      </c>
      <c r="C217" s="22"/>
      <c r="D217" s="5" t="s">
        <v>344</v>
      </c>
      <c r="E217" s="22"/>
      <c r="F217" s="5">
        <v>42</v>
      </c>
      <c r="G217" s="5">
        <f t="shared" si="46"/>
        <v>42</v>
      </c>
      <c r="H217" s="22"/>
      <c r="I217" s="5" t="s">
        <v>344</v>
      </c>
      <c r="J217" s="22"/>
      <c r="K217" s="5">
        <v>50</v>
      </c>
      <c r="L217" s="5">
        <f t="shared" si="47"/>
        <v>50</v>
      </c>
      <c r="M217" s="22"/>
      <c r="N217" s="5" t="s">
        <v>344</v>
      </c>
      <c r="O217" s="22"/>
      <c r="P217" s="5">
        <v>50.5</v>
      </c>
      <c r="Q217" s="5">
        <f t="shared" si="41"/>
        <v>50.5</v>
      </c>
      <c r="R217" s="2">
        <f t="shared" si="40"/>
        <v>48.916666666666664</v>
      </c>
      <c r="T217" s="7">
        <f t="shared" si="39"/>
        <v>2.6933461429548848E-4</v>
      </c>
      <c r="V217" s="40">
        <f>claims!D217</f>
        <v>0</v>
      </c>
      <c r="W217" s="40">
        <f>claims!E217</f>
        <v>0</v>
      </c>
      <c r="X217" s="40">
        <f>claims!F217</f>
        <v>1</v>
      </c>
      <c r="Z217" s="7">
        <f t="shared" si="42"/>
        <v>0</v>
      </c>
      <c r="AA217" s="7">
        <f t="shared" si="43"/>
        <v>0</v>
      </c>
      <c r="AB217" s="7">
        <f t="shared" si="44"/>
        <v>0.01</v>
      </c>
      <c r="AD217" s="7">
        <f t="shared" si="45"/>
        <v>5.0000000000000001E-3</v>
      </c>
    </row>
    <row r="218" spans="1:30" outlineLevel="1">
      <c r="A218" s="1" t="s">
        <v>345</v>
      </c>
      <c r="B218" s="1" t="s">
        <v>346</v>
      </c>
      <c r="C218" s="22"/>
      <c r="D218" s="5" t="s">
        <v>346</v>
      </c>
      <c r="E218" s="22"/>
      <c r="F218" s="5">
        <v>6.5</v>
      </c>
      <c r="G218" s="5">
        <f t="shared" si="46"/>
        <v>6.5</v>
      </c>
      <c r="H218" s="22"/>
      <c r="I218" s="5" t="s">
        <v>346</v>
      </c>
      <c r="J218" s="22"/>
      <c r="K218" s="5">
        <v>6</v>
      </c>
      <c r="L218" s="5">
        <f t="shared" si="47"/>
        <v>6</v>
      </c>
      <c r="M218" s="22"/>
      <c r="N218" s="5" t="s">
        <v>346</v>
      </c>
      <c r="O218" s="22"/>
      <c r="P218" s="5">
        <v>7</v>
      </c>
      <c r="Q218" s="5">
        <f t="shared" si="41"/>
        <v>7</v>
      </c>
      <c r="R218" s="2">
        <f t="shared" si="40"/>
        <v>6.583333333333333</v>
      </c>
      <c r="T218" s="7">
        <f t="shared" si="39"/>
        <v>3.6247758993771025E-5</v>
      </c>
      <c r="V218" s="40">
        <f>claims!D218</f>
        <v>0</v>
      </c>
      <c r="W218" s="40">
        <f>claims!E218</f>
        <v>0</v>
      </c>
      <c r="X218" s="40">
        <f>claims!F218</f>
        <v>0</v>
      </c>
      <c r="Z218" s="7">
        <f t="shared" si="42"/>
        <v>0</v>
      </c>
      <c r="AA218" s="7">
        <f t="shared" si="43"/>
        <v>0</v>
      </c>
      <c r="AB218" s="7">
        <f t="shared" si="44"/>
        <v>0</v>
      </c>
      <c r="AD218" s="7">
        <f t="shared" si="45"/>
        <v>0</v>
      </c>
    </row>
    <row r="219" spans="1:30" outlineLevel="1">
      <c r="A219" s="1" t="s">
        <v>347</v>
      </c>
      <c r="B219" s="1" t="s">
        <v>348</v>
      </c>
      <c r="C219" s="22"/>
      <c r="D219" s="5" t="s">
        <v>348</v>
      </c>
      <c r="E219" s="22"/>
      <c r="F219" s="5">
        <v>7</v>
      </c>
      <c r="G219" s="5">
        <f t="shared" si="46"/>
        <v>7</v>
      </c>
      <c r="H219" s="22"/>
      <c r="I219" s="5" t="s">
        <v>348</v>
      </c>
      <c r="J219" s="22"/>
      <c r="K219" s="5">
        <v>6</v>
      </c>
      <c r="L219" s="5">
        <f t="shared" si="47"/>
        <v>6</v>
      </c>
      <c r="M219" s="22"/>
      <c r="N219" s="5" t="s">
        <v>348</v>
      </c>
      <c r="O219" s="22"/>
      <c r="P219" s="5">
        <v>7</v>
      </c>
      <c r="Q219" s="5">
        <f t="shared" si="41"/>
        <v>7</v>
      </c>
      <c r="R219" s="2">
        <f t="shared" si="40"/>
        <v>6.666666666666667</v>
      </c>
      <c r="T219" s="7">
        <f t="shared" si="39"/>
        <v>3.6706591386097242E-5</v>
      </c>
      <c r="V219" s="40">
        <f>claims!D219</f>
        <v>0</v>
      </c>
      <c r="W219" s="40">
        <f>claims!E219</f>
        <v>0</v>
      </c>
      <c r="X219" s="40">
        <f>claims!F219</f>
        <v>0</v>
      </c>
      <c r="Z219" s="7">
        <f t="shared" si="42"/>
        <v>0</v>
      </c>
      <c r="AA219" s="7">
        <f t="shared" si="43"/>
        <v>0</v>
      </c>
      <c r="AB219" s="7">
        <f t="shared" si="44"/>
        <v>0</v>
      </c>
      <c r="AD219" s="7">
        <f t="shared" si="45"/>
        <v>0</v>
      </c>
    </row>
    <row r="220" spans="1:30" outlineLevel="1">
      <c r="A220" s="1" t="s">
        <v>349</v>
      </c>
      <c r="B220" s="1" t="s">
        <v>350</v>
      </c>
      <c r="C220" s="22"/>
      <c r="D220" s="5" t="s">
        <v>350</v>
      </c>
      <c r="E220" s="22"/>
      <c r="F220" s="5">
        <v>49</v>
      </c>
      <c r="G220" s="5">
        <f t="shared" si="46"/>
        <v>49</v>
      </c>
      <c r="H220" s="22"/>
      <c r="I220" s="5" t="s">
        <v>350</v>
      </c>
      <c r="J220" s="22"/>
      <c r="K220" s="5">
        <v>46</v>
      </c>
      <c r="L220" s="5">
        <f t="shared" si="47"/>
        <v>46</v>
      </c>
      <c r="M220" s="22"/>
      <c r="N220" s="5" t="s">
        <v>350</v>
      </c>
      <c r="O220" s="22"/>
      <c r="P220" s="5">
        <v>53</v>
      </c>
      <c r="Q220" s="5">
        <f t="shared" si="41"/>
        <v>53</v>
      </c>
      <c r="R220" s="2">
        <f t="shared" si="40"/>
        <v>50</v>
      </c>
      <c r="T220" s="7">
        <f t="shared" si="39"/>
        <v>2.752994353957293E-4</v>
      </c>
      <c r="V220" s="40">
        <f>claims!D220</f>
        <v>0</v>
      </c>
      <c r="W220" s="40">
        <f>claims!E220</f>
        <v>0</v>
      </c>
      <c r="X220" s="40">
        <f>claims!F220</f>
        <v>1</v>
      </c>
      <c r="Z220" s="7">
        <f t="shared" si="42"/>
        <v>0</v>
      </c>
      <c r="AA220" s="7">
        <f t="shared" si="43"/>
        <v>0</v>
      </c>
      <c r="AB220" s="7">
        <f t="shared" si="44"/>
        <v>0.01</v>
      </c>
      <c r="AD220" s="7">
        <f t="shared" si="45"/>
        <v>5.0000000000000001E-3</v>
      </c>
    </row>
    <row r="221" spans="1:30" outlineLevel="1">
      <c r="A221" s="1" t="s">
        <v>351</v>
      </c>
      <c r="B221" s="1" t="s">
        <v>352</v>
      </c>
      <c r="C221" s="22"/>
      <c r="D221" s="5" t="s">
        <v>352</v>
      </c>
      <c r="E221" s="22"/>
      <c r="F221" s="5">
        <v>8</v>
      </c>
      <c r="G221" s="5">
        <f t="shared" si="46"/>
        <v>8</v>
      </c>
      <c r="H221" s="22"/>
      <c r="I221" s="5" t="s">
        <v>352</v>
      </c>
      <c r="J221" s="22"/>
      <c r="K221" s="5">
        <v>9</v>
      </c>
      <c r="L221" s="5">
        <f t="shared" si="47"/>
        <v>9</v>
      </c>
      <c r="M221" s="22"/>
      <c r="N221" s="5" t="s">
        <v>352</v>
      </c>
      <c r="O221" s="22"/>
      <c r="P221" s="5">
        <v>8</v>
      </c>
      <c r="Q221" s="5">
        <f t="shared" si="41"/>
        <v>8</v>
      </c>
      <c r="R221" s="2">
        <f t="shared" si="40"/>
        <v>8.3333333333333339</v>
      </c>
      <c r="T221" s="7">
        <f t="shared" si="39"/>
        <v>4.5883239232621554E-5</v>
      </c>
      <c r="V221" s="40">
        <f>claims!D221</f>
        <v>0</v>
      </c>
      <c r="W221" s="40">
        <f>claims!E221</f>
        <v>0</v>
      </c>
      <c r="X221" s="40">
        <f>claims!F221</f>
        <v>0</v>
      </c>
      <c r="Z221" s="7">
        <f t="shared" si="42"/>
        <v>0</v>
      </c>
      <c r="AA221" s="7">
        <f t="shared" si="43"/>
        <v>0</v>
      </c>
      <c r="AB221" s="7">
        <f t="shared" si="44"/>
        <v>0</v>
      </c>
      <c r="AD221" s="7">
        <f t="shared" si="45"/>
        <v>0</v>
      </c>
    </row>
    <row r="222" spans="1:30" outlineLevel="1">
      <c r="A222" s="1" t="s">
        <v>353</v>
      </c>
      <c r="B222" s="1" t="s">
        <v>354</v>
      </c>
      <c r="C222" s="22"/>
      <c r="D222" s="5" t="s">
        <v>354</v>
      </c>
      <c r="E222" s="22"/>
      <c r="F222" s="5">
        <v>9.5</v>
      </c>
      <c r="G222" s="5">
        <f t="shared" si="46"/>
        <v>9.5</v>
      </c>
      <c r="H222" s="22"/>
      <c r="I222" s="5" t="s">
        <v>354</v>
      </c>
      <c r="J222" s="22"/>
      <c r="K222" s="5">
        <v>9.5</v>
      </c>
      <c r="L222" s="5">
        <f t="shared" si="47"/>
        <v>9.5</v>
      </c>
      <c r="M222" s="22"/>
      <c r="N222" s="5" t="s">
        <v>354</v>
      </c>
      <c r="O222" s="22"/>
      <c r="P222" s="5">
        <v>11</v>
      </c>
      <c r="Q222" s="5">
        <f t="shared" si="41"/>
        <v>11</v>
      </c>
      <c r="R222" s="2">
        <f t="shared" si="40"/>
        <v>10.25</v>
      </c>
      <c r="T222" s="7">
        <f t="shared" si="39"/>
        <v>5.6436384256124505E-5</v>
      </c>
      <c r="V222" s="40">
        <f>claims!D222</f>
        <v>0</v>
      </c>
      <c r="W222" s="40">
        <f>claims!E222</f>
        <v>0</v>
      </c>
      <c r="X222" s="40">
        <f>claims!F222</f>
        <v>0</v>
      </c>
      <c r="Z222" s="7">
        <f t="shared" si="42"/>
        <v>0</v>
      </c>
      <c r="AA222" s="7">
        <f t="shared" si="43"/>
        <v>0</v>
      </c>
      <c r="AB222" s="7">
        <f t="shared" si="44"/>
        <v>0</v>
      </c>
      <c r="AD222" s="7">
        <f t="shared" si="45"/>
        <v>0</v>
      </c>
    </row>
    <row r="223" spans="1:30" outlineLevel="1">
      <c r="A223" s="1" t="s">
        <v>355</v>
      </c>
      <c r="B223" s="1" t="s">
        <v>356</v>
      </c>
      <c r="C223" s="22"/>
      <c r="D223" s="5" t="s">
        <v>356</v>
      </c>
      <c r="E223" s="22"/>
      <c r="F223" s="5">
        <v>17</v>
      </c>
      <c r="G223" s="5">
        <f t="shared" si="46"/>
        <v>17</v>
      </c>
      <c r="H223" s="22"/>
      <c r="I223" s="5" t="s">
        <v>356</v>
      </c>
      <c r="J223" s="22"/>
      <c r="K223" s="5">
        <v>18</v>
      </c>
      <c r="L223" s="5">
        <f t="shared" si="47"/>
        <v>18</v>
      </c>
      <c r="M223" s="22"/>
      <c r="N223" s="5" t="s">
        <v>356</v>
      </c>
      <c r="O223" s="22"/>
      <c r="P223" s="5">
        <v>18</v>
      </c>
      <c r="Q223" s="5">
        <f t="shared" si="41"/>
        <v>18</v>
      </c>
      <c r="R223" s="2">
        <f t="shared" si="40"/>
        <v>17.833333333333332</v>
      </c>
      <c r="T223" s="7">
        <f t="shared" si="39"/>
        <v>9.819013195781011E-5</v>
      </c>
      <c r="V223" s="40">
        <f>claims!D223</f>
        <v>0</v>
      </c>
      <c r="W223" s="40">
        <f>claims!E223</f>
        <v>1</v>
      </c>
      <c r="X223" s="40">
        <f>claims!F223</f>
        <v>0</v>
      </c>
      <c r="Z223" s="7">
        <f t="shared" si="42"/>
        <v>0</v>
      </c>
      <c r="AA223" s="7">
        <f t="shared" si="43"/>
        <v>0.01</v>
      </c>
      <c r="AB223" s="7">
        <f t="shared" si="44"/>
        <v>0</v>
      </c>
      <c r="AD223" s="7">
        <f t="shared" si="45"/>
        <v>3.3333333333333335E-3</v>
      </c>
    </row>
    <row r="224" spans="1:30" outlineLevel="1">
      <c r="A224" s="1" t="s">
        <v>357</v>
      </c>
      <c r="B224" s="1" t="s">
        <v>358</v>
      </c>
      <c r="C224" s="22"/>
      <c r="D224" s="5" t="s">
        <v>358</v>
      </c>
      <c r="E224" s="22"/>
      <c r="F224" s="5">
        <v>16</v>
      </c>
      <c r="G224" s="5">
        <f t="shared" si="46"/>
        <v>16</v>
      </c>
      <c r="H224" s="22"/>
      <c r="I224" s="5" t="s">
        <v>358</v>
      </c>
      <c r="J224" s="22"/>
      <c r="K224" s="5">
        <v>16</v>
      </c>
      <c r="L224" s="5">
        <f t="shared" si="47"/>
        <v>16</v>
      </c>
      <c r="M224" s="22"/>
      <c r="N224" s="5" t="s">
        <v>358</v>
      </c>
      <c r="O224" s="22"/>
      <c r="P224" s="5">
        <v>16</v>
      </c>
      <c r="Q224" s="5">
        <f t="shared" si="41"/>
        <v>16</v>
      </c>
      <c r="R224" s="2">
        <f t="shared" si="40"/>
        <v>16</v>
      </c>
      <c r="T224" s="7">
        <f t="shared" si="39"/>
        <v>8.809581932663337E-5</v>
      </c>
      <c r="V224" s="40">
        <f>claims!D224</f>
        <v>0</v>
      </c>
      <c r="W224" s="40">
        <f>claims!E224</f>
        <v>0</v>
      </c>
      <c r="X224" s="40">
        <f>claims!F224</f>
        <v>0</v>
      </c>
      <c r="Z224" s="7">
        <f t="shared" si="42"/>
        <v>0</v>
      </c>
      <c r="AA224" s="7">
        <f t="shared" si="43"/>
        <v>0</v>
      </c>
      <c r="AB224" s="7">
        <f t="shared" si="44"/>
        <v>0</v>
      </c>
      <c r="AD224" s="7">
        <f t="shared" si="45"/>
        <v>0</v>
      </c>
    </row>
    <row r="225" spans="1:30" outlineLevel="1">
      <c r="A225" s="1" t="s">
        <v>359</v>
      </c>
      <c r="B225" s="1" t="s">
        <v>360</v>
      </c>
      <c r="C225" s="22"/>
      <c r="D225" s="5" t="s">
        <v>360</v>
      </c>
      <c r="E225" s="22"/>
      <c r="F225" s="5">
        <v>9</v>
      </c>
      <c r="G225" s="5">
        <f t="shared" si="46"/>
        <v>9</v>
      </c>
      <c r="H225" s="22"/>
      <c r="I225" s="5" t="s">
        <v>360</v>
      </c>
      <c r="J225" s="22"/>
      <c r="K225" s="5">
        <v>9</v>
      </c>
      <c r="L225" s="5">
        <f t="shared" si="47"/>
        <v>9</v>
      </c>
      <c r="M225" s="22"/>
      <c r="N225" s="5" t="s">
        <v>360</v>
      </c>
      <c r="O225" s="22"/>
      <c r="P225" s="5">
        <v>9</v>
      </c>
      <c r="Q225" s="5">
        <f t="shared" si="41"/>
        <v>9</v>
      </c>
      <c r="R225" s="2">
        <f t="shared" si="40"/>
        <v>9</v>
      </c>
      <c r="T225" s="7">
        <f t="shared" si="39"/>
        <v>4.9553898371231272E-5</v>
      </c>
      <c r="V225" s="40">
        <f>claims!D225</f>
        <v>0</v>
      </c>
      <c r="W225" s="40">
        <f>claims!E225</f>
        <v>0</v>
      </c>
      <c r="X225" s="40">
        <f>claims!F225</f>
        <v>0</v>
      </c>
      <c r="Z225" s="7">
        <f t="shared" si="42"/>
        <v>0</v>
      </c>
      <c r="AA225" s="7">
        <f t="shared" si="43"/>
        <v>0</v>
      </c>
      <c r="AB225" s="7">
        <f t="shared" si="44"/>
        <v>0</v>
      </c>
      <c r="AD225" s="7">
        <f t="shared" si="45"/>
        <v>0</v>
      </c>
    </row>
    <row r="226" spans="1:30" outlineLevel="1">
      <c r="A226" s="1" t="s">
        <v>361</v>
      </c>
      <c r="B226" s="1" t="s">
        <v>362</v>
      </c>
      <c r="C226" s="22"/>
      <c r="D226" s="5" t="s">
        <v>362</v>
      </c>
      <c r="E226" s="22"/>
      <c r="F226" s="5">
        <v>136</v>
      </c>
      <c r="G226" s="5">
        <f t="shared" si="46"/>
        <v>136</v>
      </c>
      <c r="H226" s="22"/>
      <c r="I226" s="5" t="s">
        <v>362</v>
      </c>
      <c r="J226" s="22"/>
      <c r="K226" s="5">
        <v>145</v>
      </c>
      <c r="L226" s="5">
        <f t="shared" si="47"/>
        <v>145</v>
      </c>
      <c r="M226" s="22"/>
      <c r="N226" s="5" t="s">
        <v>362</v>
      </c>
      <c r="O226" s="22"/>
      <c r="P226" s="5">
        <v>141</v>
      </c>
      <c r="Q226" s="5">
        <f t="shared" si="41"/>
        <v>141</v>
      </c>
      <c r="R226" s="2">
        <f t="shared" si="40"/>
        <v>141.5</v>
      </c>
      <c r="T226" s="7">
        <f t="shared" si="39"/>
        <v>7.7909740216991388E-4</v>
      </c>
      <c r="V226" s="40">
        <f>claims!D226</f>
        <v>2</v>
      </c>
      <c r="W226" s="40">
        <f>claims!E226</f>
        <v>2</v>
      </c>
      <c r="X226" s="40">
        <f>claims!F226</f>
        <v>0</v>
      </c>
      <c r="Z226" s="7">
        <f t="shared" si="42"/>
        <v>1.4705882352941176E-2</v>
      </c>
      <c r="AA226" s="7">
        <f t="shared" si="43"/>
        <v>1.3793103448275862E-2</v>
      </c>
      <c r="AB226" s="7">
        <f t="shared" si="44"/>
        <v>0</v>
      </c>
      <c r="AD226" s="7">
        <f t="shared" si="45"/>
        <v>7.0486815415821509E-3</v>
      </c>
    </row>
    <row r="227" spans="1:30" outlineLevel="1">
      <c r="A227" s="1" t="s">
        <v>363</v>
      </c>
      <c r="B227" s="1" t="s">
        <v>364</v>
      </c>
      <c r="C227" s="22"/>
      <c r="D227" s="5" t="s">
        <v>364</v>
      </c>
      <c r="E227" s="22"/>
      <c r="F227" s="5">
        <v>19</v>
      </c>
      <c r="G227" s="5">
        <f t="shared" si="46"/>
        <v>19</v>
      </c>
      <c r="H227" s="22"/>
      <c r="I227" s="5" t="s">
        <v>364</v>
      </c>
      <c r="J227" s="22"/>
      <c r="K227" s="5">
        <v>19</v>
      </c>
      <c r="L227" s="5">
        <f t="shared" si="47"/>
        <v>19</v>
      </c>
      <c r="M227" s="22"/>
      <c r="N227" s="5" t="s">
        <v>364</v>
      </c>
      <c r="O227" s="22"/>
      <c r="P227" s="5">
        <v>18.5</v>
      </c>
      <c r="Q227" s="5">
        <f t="shared" si="41"/>
        <v>18.5</v>
      </c>
      <c r="R227" s="2">
        <f t="shared" si="40"/>
        <v>18.75</v>
      </c>
      <c r="T227" s="7">
        <f t="shared" si="39"/>
        <v>1.0323728827339849E-4</v>
      </c>
      <c r="V227" s="40">
        <f>claims!D227</f>
        <v>1</v>
      </c>
      <c r="W227" s="40">
        <f>claims!E227</f>
        <v>1</v>
      </c>
      <c r="X227" s="40">
        <f>claims!F227</f>
        <v>0</v>
      </c>
      <c r="Z227" s="7">
        <f t="shared" si="42"/>
        <v>0.01</v>
      </c>
      <c r="AA227" s="7">
        <f t="shared" si="43"/>
        <v>0.01</v>
      </c>
      <c r="AB227" s="7">
        <f t="shared" si="44"/>
        <v>0</v>
      </c>
      <c r="AD227" s="7">
        <f t="shared" si="45"/>
        <v>5.0000000000000001E-3</v>
      </c>
    </row>
    <row r="228" spans="1:30" outlineLevel="1">
      <c r="A228" s="1" t="s">
        <v>365</v>
      </c>
      <c r="B228" s="1" t="s">
        <v>366</v>
      </c>
      <c r="C228" s="22"/>
      <c r="D228" s="5" t="s">
        <v>366</v>
      </c>
      <c r="E228" s="22"/>
      <c r="F228" s="5">
        <v>9</v>
      </c>
      <c r="G228" s="5">
        <f t="shared" si="46"/>
        <v>9</v>
      </c>
      <c r="H228" s="22"/>
      <c r="I228" s="5" t="s">
        <v>366</v>
      </c>
      <c r="J228" s="22"/>
      <c r="K228" s="5">
        <v>9</v>
      </c>
      <c r="L228" s="5">
        <f t="shared" si="47"/>
        <v>9</v>
      </c>
      <c r="M228" s="22"/>
      <c r="N228" s="5" t="s">
        <v>366</v>
      </c>
      <c r="O228" s="22"/>
      <c r="P228" s="5">
        <v>8</v>
      </c>
      <c r="Q228" s="5">
        <f t="shared" si="41"/>
        <v>8</v>
      </c>
      <c r="R228" s="2">
        <f t="shared" si="40"/>
        <v>8.5</v>
      </c>
      <c r="T228" s="7">
        <f t="shared" si="39"/>
        <v>4.6800904017273982E-5</v>
      </c>
      <c r="V228" s="40">
        <f>claims!D228</f>
        <v>0</v>
      </c>
      <c r="W228" s="40">
        <f>claims!E228</f>
        <v>0</v>
      </c>
      <c r="X228" s="40">
        <f>claims!F228</f>
        <v>0</v>
      </c>
      <c r="Z228" s="7">
        <f t="shared" si="42"/>
        <v>0</v>
      </c>
      <c r="AA228" s="7">
        <f t="shared" si="43"/>
        <v>0</v>
      </c>
      <c r="AB228" s="7">
        <f t="shared" si="44"/>
        <v>0</v>
      </c>
      <c r="AD228" s="7">
        <f t="shared" si="45"/>
        <v>0</v>
      </c>
    </row>
    <row r="229" spans="1:30" outlineLevel="1">
      <c r="A229" s="1" t="s">
        <v>367</v>
      </c>
      <c r="B229" s="1" t="s">
        <v>368</v>
      </c>
      <c r="C229" s="22"/>
      <c r="D229" s="5" t="s">
        <v>368</v>
      </c>
      <c r="E229" s="22"/>
      <c r="F229" s="5">
        <v>6</v>
      </c>
      <c r="G229" s="5">
        <f t="shared" si="46"/>
        <v>6</v>
      </c>
      <c r="H229" s="22"/>
      <c r="I229" s="5" t="s">
        <v>368</v>
      </c>
      <c r="J229" s="22"/>
      <c r="K229" s="5">
        <v>6</v>
      </c>
      <c r="L229" s="5">
        <f t="shared" si="47"/>
        <v>6</v>
      </c>
      <c r="M229" s="22"/>
      <c r="N229" s="5" t="s">
        <v>368</v>
      </c>
      <c r="O229" s="22"/>
      <c r="P229" s="5">
        <v>6</v>
      </c>
      <c r="Q229" s="5">
        <f t="shared" si="41"/>
        <v>6</v>
      </c>
      <c r="R229" s="2">
        <f t="shared" si="40"/>
        <v>6</v>
      </c>
      <c r="T229" s="7">
        <f t="shared" si="39"/>
        <v>3.3035932247487517E-5</v>
      </c>
      <c r="V229" s="40">
        <f>claims!D229</f>
        <v>0</v>
      </c>
      <c r="W229" s="40">
        <f>claims!E229</f>
        <v>0</v>
      </c>
      <c r="X229" s="40">
        <f>claims!F229</f>
        <v>0</v>
      </c>
      <c r="Z229" s="7">
        <f t="shared" si="42"/>
        <v>0</v>
      </c>
      <c r="AA229" s="7">
        <f t="shared" si="43"/>
        <v>0</v>
      </c>
      <c r="AB229" s="7">
        <f t="shared" si="44"/>
        <v>0</v>
      </c>
      <c r="AD229" s="7">
        <f t="shared" si="45"/>
        <v>0</v>
      </c>
    </row>
    <row r="230" spans="1:30" outlineLevel="1">
      <c r="A230" s="1" t="s">
        <v>369</v>
      </c>
      <c r="B230" s="1" t="s">
        <v>370</v>
      </c>
      <c r="C230" s="22"/>
      <c r="D230" s="5" t="s">
        <v>370</v>
      </c>
      <c r="E230" s="22"/>
      <c r="F230" s="5">
        <v>27</v>
      </c>
      <c r="G230" s="5">
        <f t="shared" si="46"/>
        <v>27</v>
      </c>
      <c r="H230" s="22"/>
      <c r="I230" s="5" t="s">
        <v>370</v>
      </c>
      <c r="J230" s="22"/>
      <c r="K230" s="5">
        <v>29</v>
      </c>
      <c r="L230" s="5">
        <f t="shared" si="47"/>
        <v>29</v>
      </c>
      <c r="M230" s="22"/>
      <c r="N230" s="5" t="s">
        <v>370</v>
      </c>
      <c r="O230" s="22"/>
      <c r="P230" s="5">
        <v>31</v>
      </c>
      <c r="Q230" s="5">
        <f t="shared" si="41"/>
        <v>31</v>
      </c>
      <c r="R230" s="2">
        <f t="shared" si="40"/>
        <v>29.666666666666668</v>
      </c>
      <c r="T230" s="7">
        <f t="shared" si="39"/>
        <v>1.6334433166813274E-4</v>
      </c>
      <c r="V230" s="40">
        <f>claims!D230</f>
        <v>0</v>
      </c>
      <c r="W230" s="40">
        <f>claims!E230</f>
        <v>0</v>
      </c>
      <c r="X230" s="40">
        <f>claims!F230</f>
        <v>0</v>
      </c>
      <c r="Z230" s="7">
        <f t="shared" si="42"/>
        <v>0</v>
      </c>
      <c r="AA230" s="7">
        <f t="shared" si="43"/>
        <v>0</v>
      </c>
      <c r="AB230" s="7">
        <f t="shared" si="44"/>
        <v>0</v>
      </c>
      <c r="AD230" s="7">
        <f t="shared" si="45"/>
        <v>0</v>
      </c>
    </row>
    <row r="231" spans="1:30" outlineLevel="1">
      <c r="A231" s="1" t="s">
        <v>371</v>
      </c>
      <c r="B231" s="1" t="s">
        <v>372</v>
      </c>
      <c r="C231" s="22"/>
      <c r="D231" s="5" t="s">
        <v>372</v>
      </c>
      <c r="E231" s="22"/>
      <c r="F231" s="5">
        <v>17.5</v>
      </c>
      <c r="G231" s="5">
        <f t="shared" si="46"/>
        <v>17.5</v>
      </c>
      <c r="H231" s="22"/>
      <c r="I231" s="5" t="s">
        <v>372</v>
      </c>
      <c r="J231" s="22"/>
      <c r="K231" s="5">
        <v>17</v>
      </c>
      <c r="L231" s="5">
        <f t="shared" si="47"/>
        <v>17</v>
      </c>
      <c r="M231" s="22"/>
      <c r="N231" s="5" t="s">
        <v>372</v>
      </c>
      <c r="O231" s="22"/>
      <c r="P231" s="5">
        <v>15.5</v>
      </c>
      <c r="Q231" s="5">
        <f t="shared" si="41"/>
        <v>15.5</v>
      </c>
      <c r="R231" s="2">
        <f t="shared" si="40"/>
        <v>16.333333333333332</v>
      </c>
      <c r="T231" s="7">
        <f t="shared" si="39"/>
        <v>8.9931148895938226E-5</v>
      </c>
      <c r="V231" s="40">
        <f>claims!D231</f>
        <v>0</v>
      </c>
      <c r="W231" s="40">
        <f>claims!E231</f>
        <v>0</v>
      </c>
      <c r="X231" s="40">
        <f>claims!F231</f>
        <v>0</v>
      </c>
      <c r="Z231" s="7">
        <f t="shared" si="42"/>
        <v>0</v>
      </c>
      <c r="AA231" s="7">
        <f t="shared" si="43"/>
        <v>0</v>
      </c>
      <c r="AB231" s="7">
        <f t="shared" si="44"/>
        <v>0</v>
      </c>
      <c r="AD231" s="7">
        <f t="shared" si="45"/>
        <v>0</v>
      </c>
    </row>
    <row r="232" spans="1:30" outlineLevel="1">
      <c r="A232" s="1" t="s">
        <v>373</v>
      </c>
      <c r="B232" s="1" t="s">
        <v>374</v>
      </c>
      <c r="C232" s="22"/>
      <c r="D232" s="5" t="s">
        <v>374</v>
      </c>
      <c r="E232" s="22"/>
      <c r="F232" s="5">
        <v>20.5</v>
      </c>
      <c r="G232" s="5">
        <f t="shared" si="46"/>
        <v>20.5</v>
      </c>
      <c r="H232" s="22"/>
      <c r="I232" s="5" t="s">
        <v>374</v>
      </c>
      <c r="J232" s="22"/>
      <c r="K232" s="5">
        <v>22.5</v>
      </c>
      <c r="L232" s="5">
        <f t="shared" si="47"/>
        <v>22.5</v>
      </c>
      <c r="M232" s="22"/>
      <c r="N232" s="5" t="s">
        <v>374</v>
      </c>
      <c r="O232" s="22"/>
      <c r="P232" s="5">
        <v>21.5</v>
      </c>
      <c r="Q232" s="5">
        <f t="shared" si="41"/>
        <v>21.5</v>
      </c>
      <c r="R232" s="2">
        <f t="shared" si="40"/>
        <v>21.666666666666668</v>
      </c>
      <c r="T232" s="7">
        <f t="shared" si="39"/>
        <v>1.1929642200481604E-4</v>
      </c>
      <c r="V232" s="40">
        <f>claims!D232</f>
        <v>0</v>
      </c>
      <c r="W232" s="40">
        <f>claims!E232</f>
        <v>2</v>
      </c>
      <c r="X232" s="40">
        <f>claims!F232</f>
        <v>0</v>
      </c>
      <c r="Z232" s="7">
        <f t="shared" si="42"/>
        <v>0</v>
      </c>
      <c r="AA232" s="7">
        <f t="shared" si="43"/>
        <v>0.02</v>
      </c>
      <c r="AB232" s="7">
        <f t="shared" si="44"/>
        <v>0</v>
      </c>
      <c r="AD232" s="7">
        <f t="shared" si="45"/>
        <v>6.6666666666666671E-3</v>
      </c>
    </row>
    <row r="233" spans="1:30" outlineLevel="1">
      <c r="A233" s="1" t="s">
        <v>375</v>
      </c>
      <c r="B233" s="1" t="s">
        <v>376</v>
      </c>
      <c r="C233" s="22"/>
      <c r="D233" s="5" t="s">
        <v>376</v>
      </c>
      <c r="E233" s="22"/>
      <c r="F233" s="5">
        <v>52.5</v>
      </c>
      <c r="G233" s="5">
        <f t="shared" si="46"/>
        <v>52.5</v>
      </c>
      <c r="H233" s="22"/>
      <c r="I233" s="5" t="s">
        <v>376</v>
      </c>
      <c r="J233" s="22"/>
      <c r="K233" s="5">
        <v>50.5</v>
      </c>
      <c r="L233" s="5">
        <f t="shared" si="47"/>
        <v>50.5</v>
      </c>
      <c r="M233" s="22"/>
      <c r="N233" s="5" t="s">
        <v>376</v>
      </c>
      <c r="O233" s="22"/>
      <c r="P233" s="5">
        <v>58.5</v>
      </c>
      <c r="Q233" s="5">
        <f t="shared" si="41"/>
        <v>58.5</v>
      </c>
      <c r="R233" s="2">
        <f t="shared" si="40"/>
        <v>54.833333333333336</v>
      </c>
      <c r="T233" s="7">
        <f t="shared" si="39"/>
        <v>3.0191171415064983E-4</v>
      </c>
      <c r="V233" s="40">
        <f>claims!D233</f>
        <v>0</v>
      </c>
      <c r="W233" s="40">
        <f>claims!E233</f>
        <v>1</v>
      </c>
      <c r="X233" s="40">
        <f>claims!F233</f>
        <v>1</v>
      </c>
      <c r="Z233" s="7">
        <f t="shared" si="42"/>
        <v>0</v>
      </c>
      <c r="AA233" s="7">
        <f t="shared" si="43"/>
        <v>0.01</v>
      </c>
      <c r="AB233" s="7">
        <f t="shared" si="44"/>
        <v>0.01</v>
      </c>
      <c r="AD233" s="7">
        <f t="shared" si="45"/>
        <v>8.3333333333333332E-3</v>
      </c>
    </row>
    <row r="234" spans="1:30" outlineLevel="1">
      <c r="A234" s="11" t="s">
        <v>547</v>
      </c>
      <c r="B234" s="11" t="s">
        <v>548</v>
      </c>
      <c r="C234" s="22"/>
      <c r="D234" s="5" t="s">
        <v>548</v>
      </c>
      <c r="E234" s="22"/>
      <c r="F234" s="5">
        <v>2</v>
      </c>
      <c r="G234" s="5">
        <f t="shared" si="46"/>
        <v>2</v>
      </c>
      <c r="H234" s="22"/>
      <c r="I234" s="5" t="s">
        <v>548</v>
      </c>
      <c r="J234" s="22"/>
      <c r="K234" s="5">
        <v>2</v>
      </c>
      <c r="L234" s="5">
        <f t="shared" si="47"/>
        <v>2</v>
      </c>
      <c r="M234" s="22"/>
      <c r="N234" s="5" t="s">
        <v>548</v>
      </c>
      <c r="O234" s="22"/>
      <c r="P234" s="5">
        <v>2</v>
      </c>
      <c r="Q234" s="5">
        <f t="shared" si="41"/>
        <v>2</v>
      </c>
      <c r="R234" s="2">
        <f t="shared" ref="R234:R261" si="48">IF(G234&gt;0,(+G234+(L234*2)+(Q234*3))/6,IF(L234&gt;0,((L234*2)+(Q234*3))/5,Q234))</f>
        <v>2</v>
      </c>
      <c r="T234" s="7">
        <f t="shared" si="39"/>
        <v>1.1011977415829171E-5</v>
      </c>
      <c r="V234" s="40">
        <f>claims!D234</f>
        <v>0</v>
      </c>
      <c r="W234" s="40">
        <f>claims!E234</f>
        <v>0</v>
      </c>
      <c r="X234" s="40">
        <f>claims!F234</f>
        <v>0</v>
      </c>
      <c r="Z234" s="7">
        <f t="shared" si="42"/>
        <v>0</v>
      </c>
      <c r="AA234" s="7">
        <f t="shared" si="43"/>
        <v>0</v>
      </c>
      <c r="AB234" s="7">
        <f t="shared" si="44"/>
        <v>0</v>
      </c>
      <c r="AD234" s="7">
        <f t="shared" si="45"/>
        <v>0</v>
      </c>
    </row>
    <row r="235" spans="1:30" outlineLevel="1">
      <c r="A235" s="1" t="s">
        <v>377</v>
      </c>
      <c r="B235" s="1" t="s">
        <v>378</v>
      </c>
      <c r="C235" s="22"/>
      <c r="D235" s="5" t="s">
        <v>378</v>
      </c>
      <c r="E235" s="22"/>
      <c r="F235" s="5">
        <v>10</v>
      </c>
      <c r="G235" s="5">
        <f t="shared" si="46"/>
        <v>10</v>
      </c>
      <c r="H235" s="22"/>
      <c r="I235" s="5" t="s">
        <v>378</v>
      </c>
      <c r="J235" s="22"/>
      <c r="K235" s="5">
        <v>8</v>
      </c>
      <c r="L235" s="5">
        <f t="shared" si="47"/>
        <v>8</v>
      </c>
      <c r="M235" s="22"/>
      <c r="N235" s="5" t="s">
        <v>378</v>
      </c>
      <c r="O235" s="22"/>
      <c r="P235" s="5">
        <v>8</v>
      </c>
      <c r="Q235" s="5">
        <f t="shared" ref="Q235:Q261" si="49">AVERAGE(M235:P235)</f>
        <v>8</v>
      </c>
      <c r="R235" s="2">
        <f t="shared" si="48"/>
        <v>8.3333333333333339</v>
      </c>
      <c r="T235" s="7">
        <f t="shared" si="39"/>
        <v>4.5883239232621554E-5</v>
      </c>
      <c r="V235" s="40">
        <f>claims!D235</f>
        <v>0</v>
      </c>
      <c r="W235" s="40">
        <f>claims!E235</f>
        <v>0</v>
      </c>
      <c r="X235" s="40">
        <f>claims!F235</f>
        <v>0</v>
      </c>
      <c r="Z235" s="7">
        <f t="shared" si="42"/>
        <v>0</v>
      </c>
      <c r="AA235" s="7">
        <f t="shared" si="43"/>
        <v>0</v>
      </c>
      <c r="AB235" s="7">
        <f t="shared" si="44"/>
        <v>0</v>
      </c>
      <c r="AD235" s="7">
        <f t="shared" si="45"/>
        <v>0</v>
      </c>
    </row>
    <row r="236" spans="1:30" outlineLevel="1">
      <c r="A236" s="1" t="s">
        <v>379</v>
      </c>
      <c r="B236" s="1" t="s">
        <v>380</v>
      </c>
      <c r="C236" s="22"/>
      <c r="D236" s="5" t="s">
        <v>380</v>
      </c>
      <c r="E236" s="22"/>
      <c r="F236" s="5">
        <v>22</v>
      </c>
      <c r="G236" s="5">
        <f t="shared" ref="G236:G261" si="50">AVERAGE(C236:F236)</f>
        <v>22</v>
      </c>
      <c r="H236" s="22"/>
      <c r="I236" s="5" t="s">
        <v>380</v>
      </c>
      <c r="J236" s="22"/>
      <c r="K236" s="5">
        <v>22.5</v>
      </c>
      <c r="L236" s="5">
        <f t="shared" ref="L236:L261" si="51">AVERAGE(H236:K236)</f>
        <v>22.5</v>
      </c>
      <c r="M236" s="22"/>
      <c r="N236" s="5" t="s">
        <v>380</v>
      </c>
      <c r="O236" s="22"/>
      <c r="P236" s="5">
        <v>24.5</v>
      </c>
      <c r="Q236" s="5">
        <f t="shared" si="49"/>
        <v>24.5</v>
      </c>
      <c r="R236" s="2">
        <f t="shared" si="48"/>
        <v>23.416666666666668</v>
      </c>
      <c r="T236" s="7">
        <f t="shared" si="39"/>
        <v>1.2893190224366657E-4</v>
      </c>
      <c r="V236" s="40">
        <f>claims!D236</f>
        <v>0</v>
      </c>
      <c r="W236" s="40">
        <f>claims!E236</f>
        <v>0</v>
      </c>
      <c r="X236" s="40">
        <f>claims!F236</f>
        <v>0</v>
      </c>
      <c r="Z236" s="7">
        <f t="shared" si="42"/>
        <v>0</v>
      </c>
      <c r="AA236" s="7">
        <f t="shared" si="43"/>
        <v>0</v>
      </c>
      <c r="AB236" s="7">
        <f t="shared" si="44"/>
        <v>0</v>
      </c>
      <c r="AD236" s="7">
        <f t="shared" si="45"/>
        <v>0</v>
      </c>
    </row>
    <row r="237" spans="1:30" outlineLevel="1">
      <c r="A237" s="1" t="s">
        <v>381</v>
      </c>
      <c r="B237" s="1" t="s">
        <v>382</v>
      </c>
      <c r="C237" s="22"/>
      <c r="D237" s="5" t="s">
        <v>382</v>
      </c>
      <c r="E237" s="22"/>
      <c r="F237" s="5">
        <v>4</v>
      </c>
      <c r="G237" s="5">
        <f t="shared" si="50"/>
        <v>4</v>
      </c>
      <c r="H237" s="22"/>
      <c r="I237" s="5" t="s">
        <v>382</v>
      </c>
      <c r="J237" s="22"/>
      <c r="K237" s="5">
        <v>4</v>
      </c>
      <c r="L237" s="5">
        <f t="shared" si="51"/>
        <v>4</v>
      </c>
      <c r="M237" s="22"/>
      <c r="N237" s="5" t="s">
        <v>382</v>
      </c>
      <c r="O237" s="22"/>
      <c r="P237" s="5">
        <v>5</v>
      </c>
      <c r="Q237" s="5">
        <f t="shared" si="49"/>
        <v>5</v>
      </c>
      <c r="R237" s="2">
        <f t="shared" si="48"/>
        <v>4.5</v>
      </c>
      <c r="T237" s="7">
        <f t="shared" si="39"/>
        <v>2.4776949185615636E-5</v>
      </c>
      <c r="V237" s="40">
        <f>claims!D237</f>
        <v>0</v>
      </c>
      <c r="W237" s="40">
        <f>claims!E237</f>
        <v>0</v>
      </c>
      <c r="X237" s="40">
        <f>claims!F237</f>
        <v>0</v>
      </c>
      <c r="Z237" s="7">
        <f t="shared" si="42"/>
        <v>0</v>
      </c>
      <c r="AA237" s="7">
        <f t="shared" si="43"/>
        <v>0</v>
      </c>
      <c r="AB237" s="7">
        <f t="shared" si="44"/>
        <v>0</v>
      </c>
      <c r="AD237" s="7">
        <f t="shared" si="45"/>
        <v>0</v>
      </c>
    </row>
    <row r="238" spans="1:30" outlineLevel="1">
      <c r="A238" s="1" t="s">
        <v>383</v>
      </c>
      <c r="B238" s="1" t="s">
        <v>384</v>
      </c>
      <c r="C238" s="22"/>
      <c r="D238" s="5" t="s">
        <v>384</v>
      </c>
      <c r="E238" s="22"/>
      <c r="F238" s="5">
        <v>63</v>
      </c>
      <c r="G238" s="5">
        <f t="shared" si="50"/>
        <v>63</v>
      </c>
      <c r="H238" s="22"/>
      <c r="I238" s="5" t="s">
        <v>384</v>
      </c>
      <c r="J238" s="22"/>
      <c r="K238" s="5">
        <v>62</v>
      </c>
      <c r="L238" s="5">
        <f t="shared" si="51"/>
        <v>62</v>
      </c>
      <c r="M238" s="22"/>
      <c r="N238" s="5" t="s">
        <v>384</v>
      </c>
      <c r="O238" s="22"/>
      <c r="P238" s="5">
        <v>63.5</v>
      </c>
      <c r="Q238" s="5">
        <f t="shared" si="49"/>
        <v>63.5</v>
      </c>
      <c r="R238" s="2">
        <f t="shared" si="48"/>
        <v>62.916666666666664</v>
      </c>
      <c r="T238" s="7">
        <f t="shared" si="39"/>
        <v>3.4641845620629272E-4</v>
      </c>
      <c r="V238" s="40">
        <f>claims!D238</f>
        <v>2</v>
      </c>
      <c r="W238" s="40">
        <f>claims!E238</f>
        <v>1</v>
      </c>
      <c r="X238" s="40">
        <f>claims!F238</f>
        <v>1</v>
      </c>
      <c r="Z238" s="7">
        <f t="shared" si="42"/>
        <v>0.02</v>
      </c>
      <c r="AA238" s="7">
        <f t="shared" si="43"/>
        <v>0.01</v>
      </c>
      <c r="AB238" s="7">
        <f t="shared" si="44"/>
        <v>0.01</v>
      </c>
      <c r="AD238" s="7">
        <f t="shared" si="45"/>
        <v>1.1666666666666667E-2</v>
      </c>
    </row>
    <row r="239" spans="1:30" outlineLevel="1">
      <c r="A239" s="1" t="s">
        <v>385</v>
      </c>
      <c r="B239" s="1" t="s">
        <v>386</v>
      </c>
      <c r="C239" s="22"/>
      <c r="D239" s="5" t="s">
        <v>386</v>
      </c>
      <c r="E239" s="22"/>
      <c r="F239" s="5">
        <v>10.5</v>
      </c>
      <c r="G239" s="5">
        <f t="shared" si="50"/>
        <v>10.5</v>
      </c>
      <c r="H239" s="22"/>
      <c r="I239" s="5" t="s">
        <v>386</v>
      </c>
      <c r="J239" s="22"/>
      <c r="K239" s="5">
        <v>9</v>
      </c>
      <c r="L239" s="5">
        <f t="shared" si="51"/>
        <v>9</v>
      </c>
      <c r="M239" s="22"/>
      <c r="N239" s="5" t="s">
        <v>386</v>
      </c>
      <c r="O239" s="22"/>
      <c r="P239" s="5">
        <v>10</v>
      </c>
      <c r="Q239" s="5">
        <f t="shared" si="49"/>
        <v>10</v>
      </c>
      <c r="R239" s="2">
        <f t="shared" si="48"/>
        <v>9.75</v>
      </c>
      <c r="T239" s="7">
        <f t="shared" si="39"/>
        <v>5.3683389902167215E-5</v>
      </c>
      <c r="V239" s="40">
        <f>claims!D239</f>
        <v>0</v>
      </c>
      <c r="W239" s="40">
        <f>claims!E239</f>
        <v>0</v>
      </c>
      <c r="X239" s="40">
        <f>claims!F239</f>
        <v>0</v>
      </c>
      <c r="Z239" s="7">
        <f t="shared" si="42"/>
        <v>0</v>
      </c>
      <c r="AA239" s="7">
        <f t="shared" si="43"/>
        <v>0</v>
      </c>
      <c r="AB239" s="7">
        <f t="shared" si="44"/>
        <v>0</v>
      </c>
      <c r="AD239" s="7">
        <f t="shared" si="45"/>
        <v>0</v>
      </c>
    </row>
    <row r="240" spans="1:30" outlineLevel="1">
      <c r="A240" s="1" t="s">
        <v>387</v>
      </c>
      <c r="B240" s="1" t="s">
        <v>388</v>
      </c>
      <c r="C240" s="22"/>
      <c r="D240" s="5" t="s">
        <v>388</v>
      </c>
      <c r="E240" s="22"/>
      <c r="F240" s="5">
        <v>63.5</v>
      </c>
      <c r="G240" s="5">
        <f t="shared" si="50"/>
        <v>63.5</v>
      </c>
      <c r="H240" s="22"/>
      <c r="I240" s="5" t="s">
        <v>388</v>
      </c>
      <c r="J240" s="22"/>
      <c r="K240" s="5">
        <v>61</v>
      </c>
      <c r="L240" s="5">
        <f t="shared" si="51"/>
        <v>61</v>
      </c>
      <c r="M240" s="22"/>
      <c r="N240" s="5" t="s">
        <v>388</v>
      </c>
      <c r="O240" s="22"/>
      <c r="P240" s="5">
        <v>63</v>
      </c>
      <c r="Q240" s="5">
        <f t="shared" si="49"/>
        <v>63</v>
      </c>
      <c r="R240" s="2">
        <f t="shared" si="48"/>
        <v>62.416666666666664</v>
      </c>
      <c r="T240" s="7">
        <f t="shared" si="39"/>
        <v>3.436654618523354E-4</v>
      </c>
      <c r="V240" s="40">
        <f>claims!D240</f>
        <v>0</v>
      </c>
      <c r="W240" s="40">
        <f>claims!E240</f>
        <v>0</v>
      </c>
      <c r="X240" s="40">
        <f>claims!F240</f>
        <v>0</v>
      </c>
      <c r="Z240" s="7">
        <f t="shared" si="42"/>
        <v>0</v>
      </c>
      <c r="AA240" s="7">
        <f t="shared" si="43"/>
        <v>0</v>
      </c>
      <c r="AB240" s="7">
        <f t="shared" si="44"/>
        <v>0</v>
      </c>
      <c r="AD240" s="7">
        <f t="shared" si="45"/>
        <v>0</v>
      </c>
    </row>
    <row r="241" spans="1:30" outlineLevel="1">
      <c r="A241" s="1" t="s">
        <v>389</v>
      </c>
      <c r="B241" s="1" t="s">
        <v>390</v>
      </c>
      <c r="C241" s="22"/>
      <c r="D241" s="5" t="s">
        <v>390</v>
      </c>
      <c r="E241" s="22"/>
      <c r="F241" s="5">
        <v>18</v>
      </c>
      <c r="G241" s="5">
        <f t="shared" si="50"/>
        <v>18</v>
      </c>
      <c r="H241" s="22"/>
      <c r="I241" s="5" t="s">
        <v>390</v>
      </c>
      <c r="J241" s="22"/>
      <c r="K241" s="5">
        <v>18</v>
      </c>
      <c r="L241" s="5">
        <f t="shared" si="51"/>
        <v>18</v>
      </c>
      <c r="M241" s="22"/>
      <c r="N241" s="5" t="s">
        <v>390</v>
      </c>
      <c r="O241" s="22"/>
      <c r="P241" s="5">
        <v>18.5</v>
      </c>
      <c r="Q241" s="5">
        <f t="shared" si="49"/>
        <v>18.5</v>
      </c>
      <c r="R241" s="2">
        <f t="shared" si="48"/>
        <v>18.25</v>
      </c>
      <c r="T241" s="7">
        <f t="shared" si="39"/>
        <v>1.0048429391944119E-4</v>
      </c>
      <c r="V241" s="40">
        <f>claims!D241</f>
        <v>1</v>
      </c>
      <c r="W241" s="40">
        <f>claims!E241</f>
        <v>1</v>
      </c>
      <c r="X241" s="40">
        <f>claims!F241</f>
        <v>0</v>
      </c>
      <c r="Z241" s="7">
        <f t="shared" si="42"/>
        <v>0.01</v>
      </c>
      <c r="AA241" s="7">
        <f t="shared" si="43"/>
        <v>0.01</v>
      </c>
      <c r="AB241" s="7">
        <f t="shared" si="44"/>
        <v>0</v>
      </c>
      <c r="AD241" s="7">
        <f t="shared" si="45"/>
        <v>5.0000000000000001E-3</v>
      </c>
    </row>
    <row r="242" spans="1:30" outlineLevel="1">
      <c r="A242" s="1" t="s">
        <v>391</v>
      </c>
      <c r="B242" s="1" t="s">
        <v>392</v>
      </c>
      <c r="C242" s="22"/>
      <c r="D242" s="5" t="s">
        <v>392</v>
      </c>
      <c r="E242" s="22"/>
      <c r="F242" s="5">
        <v>340.5</v>
      </c>
      <c r="G242" s="5">
        <f t="shared" si="50"/>
        <v>340.5</v>
      </c>
      <c r="H242" s="22"/>
      <c r="I242" s="5" t="s">
        <v>392</v>
      </c>
      <c r="J242" s="22"/>
      <c r="K242" s="5">
        <v>332</v>
      </c>
      <c r="L242" s="5">
        <f t="shared" si="51"/>
        <v>332</v>
      </c>
      <c r="M242" s="22"/>
      <c r="N242" s="5" t="s">
        <v>392</v>
      </c>
      <c r="O242" s="22"/>
      <c r="P242" s="5">
        <v>358</v>
      </c>
      <c r="Q242" s="5">
        <f t="shared" si="49"/>
        <v>358</v>
      </c>
      <c r="R242" s="2">
        <f t="shared" si="48"/>
        <v>346.41666666666669</v>
      </c>
      <c r="T242" s="7">
        <f t="shared" si="39"/>
        <v>1.907366254900078E-3</v>
      </c>
      <c r="V242" s="40">
        <f>claims!D242</f>
        <v>4</v>
      </c>
      <c r="W242" s="40">
        <f>claims!E242</f>
        <v>5</v>
      </c>
      <c r="X242" s="40">
        <f>claims!F242</f>
        <v>1</v>
      </c>
      <c r="Z242" s="7">
        <f t="shared" si="42"/>
        <v>1.1747430249632892E-2</v>
      </c>
      <c r="AA242" s="7">
        <f t="shared" si="43"/>
        <v>1.5060240963855422E-2</v>
      </c>
      <c r="AB242" s="7">
        <f t="shared" si="44"/>
        <v>2.7932960893854749E-3</v>
      </c>
      <c r="AD242" s="7">
        <f t="shared" si="45"/>
        <v>8.3746334075833605E-3</v>
      </c>
    </row>
    <row r="243" spans="1:30" outlineLevel="1">
      <c r="A243" s="1" t="s">
        <v>393</v>
      </c>
      <c r="B243" s="1" t="s">
        <v>394</v>
      </c>
      <c r="C243" s="22"/>
      <c r="D243" s="5" t="s">
        <v>394</v>
      </c>
      <c r="E243" s="22"/>
      <c r="F243" s="5">
        <v>87</v>
      </c>
      <c r="G243" s="5">
        <f t="shared" si="50"/>
        <v>87</v>
      </c>
      <c r="H243" s="22"/>
      <c r="I243" s="5" t="s">
        <v>394</v>
      </c>
      <c r="J243" s="22"/>
      <c r="K243" s="5">
        <v>87</v>
      </c>
      <c r="L243" s="5">
        <f t="shared" si="51"/>
        <v>87</v>
      </c>
      <c r="M243" s="22"/>
      <c r="N243" s="5" t="s">
        <v>394</v>
      </c>
      <c r="O243" s="22"/>
      <c r="P243" s="5">
        <v>92</v>
      </c>
      <c r="Q243" s="5">
        <f t="shared" si="49"/>
        <v>92</v>
      </c>
      <c r="R243" s="2">
        <f t="shared" si="48"/>
        <v>89.5</v>
      </c>
      <c r="T243" s="7">
        <f t="shared" si="39"/>
        <v>4.9278598935835547E-4</v>
      </c>
      <c r="V243" s="40">
        <f>claims!D243</f>
        <v>0</v>
      </c>
      <c r="W243" s="40">
        <f>claims!E243</f>
        <v>0</v>
      </c>
      <c r="X243" s="40">
        <f>claims!F243</f>
        <v>4</v>
      </c>
      <c r="Z243" s="7">
        <f t="shared" si="42"/>
        <v>0</v>
      </c>
      <c r="AA243" s="7">
        <f t="shared" si="43"/>
        <v>0</v>
      </c>
      <c r="AB243" s="7">
        <f t="shared" si="44"/>
        <v>0.04</v>
      </c>
      <c r="AD243" s="7">
        <f t="shared" si="45"/>
        <v>0.02</v>
      </c>
    </row>
    <row r="244" spans="1:30" outlineLevel="1">
      <c r="A244" s="1" t="s">
        <v>395</v>
      </c>
      <c r="B244" s="1" t="s">
        <v>396</v>
      </c>
      <c r="C244" s="22"/>
      <c r="D244" s="5" t="s">
        <v>396</v>
      </c>
      <c r="E244" s="22"/>
      <c r="F244" s="5">
        <v>29</v>
      </c>
      <c r="G244" s="5">
        <f t="shared" si="50"/>
        <v>29</v>
      </c>
      <c r="H244" s="22"/>
      <c r="I244" s="5" t="s">
        <v>396</v>
      </c>
      <c r="J244" s="22"/>
      <c r="K244" s="5">
        <v>24.5</v>
      </c>
      <c r="L244" s="5">
        <f t="shared" si="51"/>
        <v>24.5</v>
      </c>
      <c r="M244" s="22"/>
      <c r="N244" s="5" t="s">
        <v>396</v>
      </c>
      <c r="O244" s="22"/>
      <c r="P244" s="5">
        <v>26.5</v>
      </c>
      <c r="Q244" s="5">
        <f t="shared" si="49"/>
        <v>26.5</v>
      </c>
      <c r="R244" s="2">
        <f t="shared" si="48"/>
        <v>26.25</v>
      </c>
      <c r="T244" s="7">
        <f t="shared" si="39"/>
        <v>1.4453220358275789E-4</v>
      </c>
      <c r="V244" s="40">
        <f>claims!D244</f>
        <v>1</v>
      </c>
      <c r="W244" s="40">
        <f>claims!E244</f>
        <v>1</v>
      </c>
      <c r="X244" s="40">
        <f>claims!F244</f>
        <v>0</v>
      </c>
      <c r="Z244" s="7">
        <f t="shared" si="42"/>
        <v>0.01</v>
      </c>
      <c r="AA244" s="7">
        <f t="shared" si="43"/>
        <v>0.01</v>
      </c>
      <c r="AB244" s="7">
        <f t="shared" si="44"/>
        <v>0</v>
      </c>
      <c r="AD244" s="7">
        <f t="shared" si="45"/>
        <v>5.0000000000000001E-3</v>
      </c>
    </row>
    <row r="245" spans="1:30" outlineLevel="1">
      <c r="A245" s="1" t="s">
        <v>397</v>
      </c>
      <c r="B245" s="1" t="s">
        <v>398</v>
      </c>
      <c r="C245" s="22"/>
      <c r="D245" s="5" t="s">
        <v>398</v>
      </c>
      <c r="E245" s="22"/>
      <c r="F245" s="5">
        <v>127</v>
      </c>
      <c r="G245" s="5">
        <f t="shared" si="50"/>
        <v>127</v>
      </c>
      <c r="H245" s="22"/>
      <c r="I245" s="5" t="s">
        <v>398</v>
      </c>
      <c r="J245" s="22"/>
      <c r="K245" s="5">
        <v>130</v>
      </c>
      <c r="L245" s="5">
        <f t="shared" si="51"/>
        <v>130</v>
      </c>
      <c r="M245" s="22"/>
      <c r="N245" s="5" t="s">
        <v>398</v>
      </c>
      <c r="O245" s="22"/>
      <c r="P245" s="5">
        <v>158</v>
      </c>
      <c r="Q245" s="5">
        <f t="shared" si="49"/>
        <v>158</v>
      </c>
      <c r="R245" s="2">
        <f t="shared" si="48"/>
        <v>143.5</v>
      </c>
      <c r="T245" s="7">
        <f t="shared" si="39"/>
        <v>7.9010937958574304E-4</v>
      </c>
      <c r="V245" s="40">
        <f>claims!D245</f>
        <v>1</v>
      </c>
      <c r="W245" s="40">
        <f>claims!E245</f>
        <v>4</v>
      </c>
      <c r="X245" s="40">
        <f>claims!F245</f>
        <v>4</v>
      </c>
      <c r="Z245" s="7">
        <f t="shared" si="42"/>
        <v>7.874015748031496E-3</v>
      </c>
      <c r="AA245" s="7">
        <f t="shared" si="43"/>
        <v>3.0769230769230771E-2</v>
      </c>
      <c r="AB245" s="7">
        <f t="shared" si="44"/>
        <v>2.5316455696202531E-2</v>
      </c>
      <c r="AD245" s="7">
        <f t="shared" si="45"/>
        <v>2.4226974062516771E-2</v>
      </c>
    </row>
    <row r="246" spans="1:30" outlineLevel="1">
      <c r="A246" s="1" t="s">
        <v>399</v>
      </c>
      <c r="B246" s="1" t="s">
        <v>400</v>
      </c>
      <c r="C246" s="22"/>
      <c r="D246" s="5" t="s">
        <v>400</v>
      </c>
      <c r="E246" s="22"/>
      <c r="F246" s="5">
        <v>171.5</v>
      </c>
      <c r="G246" s="5">
        <f t="shared" si="50"/>
        <v>171.5</v>
      </c>
      <c r="H246" s="22"/>
      <c r="I246" s="5" t="s">
        <v>400</v>
      </c>
      <c r="J246" s="22"/>
      <c r="K246" s="5">
        <v>167</v>
      </c>
      <c r="L246" s="5">
        <f t="shared" si="51"/>
        <v>167</v>
      </c>
      <c r="M246" s="22"/>
      <c r="N246" s="5" t="s">
        <v>400</v>
      </c>
      <c r="O246" s="22"/>
      <c r="P246" s="5">
        <v>173.5</v>
      </c>
      <c r="Q246" s="5">
        <f t="shared" si="49"/>
        <v>173.5</v>
      </c>
      <c r="R246" s="2">
        <f t="shared" si="48"/>
        <v>171</v>
      </c>
      <c r="T246" s="7">
        <f t="shared" si="39"/>
        <v>9.4152406905339419E-4</v>
      </c>
      <c r="V246" s="40">
        <f>claims!D246</f>
        <v>1</v>
      </c>
      <c r="W246" s="40">
        <f>claims!E246</f>
        <v>1</v>
      </c>
      <c r="X246" s="40">
        <f>claims!F246</f>
        <v>0</v>
      </c>
      <c r="Z246" s="7">
        <f t="shared" si="42"/>
        <v>5.8309037900874635E-3</v>
      </c>
      <c r="AA246" s="7">
        <f t="shared" si="43"/>
        <v>5.9880239520958087E-3</v>
      </c>
      <c r="AB246" s="7">
        <f t="shared" si="44"/>
        <v>0</v>
      </c>
      <c r="AD246" s="7">
        <f t="shared" si="45"/>
        <v>2.9678252823798468E-3</v>
      </c>
    </row>
    <row r="247" spans="1:30" outlineLevel="1">
      <c r="A247" s="1" t="s">
        <v>401</v>
      </c>
      <c r="B247" s="1" t="s">
        <v>402</v>
      </c>
      <c r="C247" s="22"/>
      <c r="D247" s="5" t="s">
        <v>402</v>
      </c>
      <c r="E247" s="22"/>
      <c r="F247" s="5">
        <v>10.5</v>
      </c>
      <c r="G247" s="5">
        <f t="shared" si="50"/>
        <v>10.5</v>
      </c>
      <c r="H247" s="22"/>
      <c r="I247" s="5" t="s">
        <v>402</v>
      </c>
      <c r="J247" s="22"/>
      <c r="K247" s="5">
        <v>10.5</v>
      </c>
      <c r="L247" s="5">
        <f t="shared" si="51"/>
        <v>10.5</v>
      </c>
      <c r="M247" s="22"/>
      <c r="N247" s="5" t="s">
        <v>402</v>
      </c>
      <c r="O247" s="22"/>
      <c r="P247" s="5">
        <v>10.5</v>
      </c>
      <c r="Q247" s="5">
        <f t="shared" si="49"/>
        <v>10.5</v>
      </c>
      <c r="R247" s="2">
        <f t="shared" si="48"/>
        <v>10.5</v>
      </c>
      <c r="T247" s="7">
        <f t="shared" si="39"/>
        <v>5.781288143310315E-5</v>
      </c>
      <c r="V247" s="40">
        <f>claims!D247</f>
        <v>0</v>
      </c>
      <c r="W247" s="40">
        <f>claims!E247</f>
        <v>0</v>
      </c>
      <c r="X247" s="40">
        <f>claims!F247</f>
        <v>0</v>
      </c>
      <c r="Z247" s="7">
        <f t="shared" si="42"/>
        <v>0</v>
      </c>
      <c r="AA247" s="7">
        <f t="shared" si="43"/>
        <v>0</v>
      </c>
      <c r="AB247" s="7">
        <f t="shared" si="44"/>
        <v>0</v>
      </c>
      <c r="AD247" s="7">
        <f t="shared" si="45"/>
        <v>0</v>
      </c>
    </row>
    <row r="248" spans="1:30" outlineLevel="1">
      <c r="A248" s="1" t="s">
        <v>403</v>
      </c>
      <c r="B248" s="1" t="s">
        <v>404</v>
      </c>
      <c r="C248" s="22"/>
      <c r="D248" s="5" t="s">
        <v>404</v>
      </c>
      <c r="E248" s="22"/>
      <c r="F248" s="5">
        <v>57</v>
      </c>
      <c r="G248" s="5">
        <f t="shared" si="50"/>
        <v>57</v>
      </c>
      <c r="H248" s="22"/>
      <c r="I248" s="5" t="s">
        <v>404</v>
      </c>
      <c r="J248" s="22"/>
      <c r="K248" s="5">
        <v>58.5</v>
      </c>
      <c r="L248" s="5">
        <f t="shared" si="51"/>
        <v>58.5</v>
      </c>
      <c r="M248" s="22"/>
      <c r="N248" s="5" t="s">
        <v>404</v>
      </c>
      <c r="O248" s="22"/>
      <c r="P248" s="5">
        <v>60.5</v>
      </c>
      <c r="Q248" s="5">
        <f t="shared" si="49"/>
        <v>60.5</v>
      </c>
      <c r="R248" s="2">
        <f t="shared" si="48"/>
        <v>59.25</v>
      </c>
      <c r="T248" s="7">
        <f t="shared" si="39"/>
        <v>3.2622983094393924E-4</v>
      </c>
      <c r="V248" s="40">
        <f>claims!D248</f>
        <v>0</v>
      </c>
      <c r="W248" s="40">
        <f>claims!E248</f>
        <v>0</v>
      </c>
      <c r="X248" s="40">
        <f>claims!F248</f>
        <v>0</v>
      </c>
      <c r="Z248" s="7">
        <f t="shared" si="42"/>
        <v>0</v>
      </c>
      <c r="AA248" s="7">
        <f t="shared" si="43"/>
        <v>0</v>
      </c>
      <c r="AB248" s="7">
        <f t="shared" si="44"/>
        <v>0</v>
      </c>
      <c r="AD248" s="7">
        <f t="shared" si="45"/>
        <v>0</v>
      </c>
    </row>
    <row r="249" spans="1:30" outlineLevel="1">
      <c r="A249" s="1" t="s">
        <v>405</v>
      </c>
      <c r="B249" s="1" t="s">
        <v>406</v>
      </c>
      <c r="C249" s="22"/>
      <c r="D249" s="5" t="s">
        <v>406</v>
      </c>
      <c r="E249" s="22"/>
      <c r="F249" s="5">
        <v>12</v>
      </c>
      <c r="G249" s="5">
        <f t="shared" si="50"/>
        <v>12</v>
      </c>
      <c r="H249" s="22"/>
      <c r="I249" s="5" t="s">
        <v>406</v>
      </c>
      <c r="J249" s="22"/>
      <c r="K249" s="5">
        <v>13</v>
      </c>
      <c r="L249" s="5">
        <f t="shared" si="51"/>
        <v>13</v>
      </c>
      <c r="M249" s="22"/>
      <c r="N249" s="5" t="s">
        <v>406</v>
      </c>
      <c r="O249" s="22"/>
      <c r="P249" s="5">
        <v>16</v>
      </c>
      <c r="Q249" s="5">
        <f t="shared" si="49"/>
        <v>16</v>
      </c>
      <c r="R249" s="2">
        <f t="shared" si="48"/>
        <v>14.333333333333334</v>
      </c>
      <c r="T249" s="7">
        <f t="shared" si="39"/>
        <v>7.8919171480109065E-5</v>
      </c>
      <c r="V249" s="40">
        <f>claims!D249</f>
        <v>0</v>
      </c>
      <c r="W249" s="40">
        <f>claims!E249</f>
        <v>0</v>
      </c>
      <c r="X249" s="40">
        <f>claims!F249</f>
        <v>0</v>
      </c>
      <c r="Z249" s="7">
        <f t="shared" si="42"/>
        <v>0</v>
      </c>
      <c r="AA249" s="7">
        <f t="shared" si="43"/>
        <v>0</v>
      </c>
      <c r="AB249" s="7">
        <f t="shared" si="44"/>
        <v>0</v>
      </c>
      <c r="AD249" s="7">
        <f t="shared" si="45"/>
        <v>0</v>
      </c>
    </row>
    <row r="250" spans="1:30" outlineLevel="1">
      <c r="A250" s="1" t="s">
        <v>407</v>
      </c>
      <c r="B250" s="1" t="s">
        <v>408</v>
      </c>
      <c r="C250" s="22"/>
      <c r="D250" s="5" t="s">
        <v>408</v>
      </c>
      <c r="E250" s="22"/>
      <c r="F250" s="5">
        <v>12</v>
      </c>
      <c r="G250" s="5">
        <f t="shared" si="50"/>
        <v>12</v>
      </c>
      <c r="H250" s="22"/>
      <c r="I250" s="5" t="s">
        <v>408</v>
      </c>
      <c r="J250" s="22"/>
      <c r="K250" s="5">
        <v>13</v>
      </c>
      <c r="L250" s="5">
        <f t="shared" si="51"/>
        <v>13</v>
      </c>
      <c r="M250" s="22"/>
      <c r="N250" s="5" t="s">
        <v>408</v>
      </c>
      <c r="O250" s="22"/>
      <c r="P250" s="5">
        <v>13</v>
      </c>
      <c r="Q250" s="5">
        <f t="shared" si="49"/>
        <v>13</v>
      </c>
      <c r="R250" s="2">
        <f t="shared" si="48"/>
        <v>12.833333333333334</v>
      </c>
      <c r="T250" s="7">
        <f t="shared" si="39"/>
        <v>7.0660188418237194E-5</v>
      </c>
      <c r="V250" s="40">
        <f>claims!D250</f>
        <v>0</v>
      </c>
      <c r="W250" s="40">
        <f>claims!E250</f>
        <v>0</v>
      </c>
      <c r="X250" s="40">
        <f>claims!F250</f>
        <v>0</v>
      </c>
      <c r="Z250" s="7">
        <f t="shared" si="42"/>
        <v>0</v>
      </c>
      <c r="AA250" s="7">
        <f t="shared" si="43"/>
        <v>0</v>
      </c>
      <c r="AB250" s="7">
        <f t="shared" si="44"/>
        <v>0</v>
      </c>
      <c r="AD250" s="7">
        <f t="shared" si="45"/>
        <v>0</v>
      </c>
    </row>
    <row r="251" spans="1:30" outlineLevel="1">
      <c r="A251" s="1" t="s">
        <v>409</v>
      </c>
      <c r="B251" s="1" t="s">
        <v>410</v>
      </c>
      <c r="C251" s="22"/>
      <c r="D251" s="5" t="s">
        <v>410</v>
      </c>
      <c r="E251" s="22"/>
      <c r="F251" s="5">
        <v>43</v>
      </c>
      <c r="G251" s="5">
        <f t="shared" si="50"/>
        <v>43</v>
      </c>
      <c r="H251" s="22"/>
      <c r="I251" s="5" t="s">
        <v>410</v>
      </c>
      <c r="J251" s="22"/>
      <c r="K251" s="5">
        <v>43.5</v>
      </c>
      <c r="L251" s="5">
        <f t="shared" si="51"/>
        <v>43.5</v>
      </c>
      <c r="M251" s="22"/>
      <c r="N251" s="5" t="s">
        <v>410</v>
      </c>
      <c r="O251" s="22"/>
      <c r="P251" s="5">
        <v>43</v>
      </c>
      <c r="Q251" s="5">
        <f t="shared" si="49"/>
        <v>43</v>
      </c>
      <c r="R251" s="2">
        <f t="shared" si="48"/>
        <v>43.166666666666664</v>
      </c>
      <c r="T251" s="7">
        <f t="shared" si="39"/>
        <v>2.3767517922497963E-4</v>
      </c>
      <c r="V251" s="40">
        <f>claims!D251</f>
        <v>1</v>
      </c>
      <c r="W251" s="40">
        <f>claims!E251</f>
        <v>0</v>
      </c>
      <c r="X251" s="40">
        <f>claims!F251</f>
        <v>1</v>
      </c>
      <c r="Z251" s="7">
        <f t="shared" si="42"/>
        <v>0.01</v>
      </c>
      <c r="AA251" s="7">
        <f t="shared" si="43"/>
        <v>0</v>
      </c>
      <c r="AB251" s="7">
        <f t="shared" si="44"/>
        <v>0.01</v>
      </c>
      <c r="AD251" s="7">
        <f t="shared" si="45"/>
        <v>6.6666666666666671E-3</v>
      </c>
    </row>
    <row r="252" spans="1:30" outlineLevel="1">
      <c r="A252" s="1" t="s">
        <v>411</v>
      </c>
      <c r="B252" s="1" t="s">
        <v>412</v>
      </c>
      <c r="C252" s="22"/>
      <c r="D252" s="5" t="s">
        <v>412</v>
      </c>
      <c r="E252" s="22"/>
      <c r="F252" s="5">
        <v>21.5</v>
      </c>
      <c r="G252" s="5">
        <f t="shared" si="50"/>
        <v>21.5</v>
      </c>
      <c r="H252" s="22"/>
      <c r="I252" s="5" t="s">
        <v>412</v>
      </c>
      <c r="J252" s="22"/>
      <c r="K252" s="5">
        <v>22.5</v>
      </c>
      <c r="L252" s="5">
        <f t="shared" si="51"/>
        <v>22.5</v>
      </c>
      <c r="M252" s="22"/>
      <c r="N252" s="5" t="s">
        <v>412</v>
      </c>
      <c r="O252" s="22"/>
      <c r="P252" s="5">
        <v>25.5</v>
      </c>
      <c r="Q252" s="5">
        <f t="shared" si="49"/>
        <v>25.5</v>
      </c>
      <c r="R252" s="2">
        <f t="shared" si="48"/>
        <v>23.833333333333332</v>
      </c>
      <c r="T252" s="7">
        <f t="shared" si="39"/>
        <v>1.3122606420529762E-4</v>
      </c>
      <c r="V252" s="40">
        <f>claims!D252</f>
        <v>0</v>
      </c>
      <c r="W252" s="40">
        <f>claims!E252</f>
        <v>0</v>
      </c>
      <c r="X252" s="40">
        <f>claims!F252</f>
        <v>1</v>
      </c>
      <c r="Z252" s="7">
        <f t="shared" si="42"/>
        <v>0</v>
      </c>
      <c r="AA252" s="7">
        <f t="shared" si="43"/>
        <v>0</v>
      </c>
      <c r="AB252" s="7">
        <f t="shared" si="44"/>
        <v>0.01</v>
      </c>
      <c r="AD252" s="7">
        <f t="shared" si="45"/>
        <v>5.0000000000000001E-3</v>
      </c>
    </row>
    <row r="253" spans="1:30" outlineLevel="1">
      <c r="A253" s="1" t="s">
        <v>413</v>
      </c>
      <c r="B253" s="1" t="s">
        <v>414</v>
      </c>
      <c r="C253" s="22"/>
      <c r="D253" s="5" t="s">
        <v>414</v>
      </c>
      <c r="E253" s="22"/>
      <c r="F253" s="5">
        <v>52</v>
      </c>
      <c r="G253" s="5">
        <f t="shared" si="50"/>
        <v>52</v>
      </c>
      <c r="H253" s="22"/>
      <c r="I253" s="5" t="s">
        <v>414</v>
      </c>
      <c r="J253" s="22"/>
      <c r="K253" s="5">
        <v>52</v>
      </c>
      <c r="L253" s="5">
        <f t="shared" si="51"/>
        <v>52</v>
      </c>
      <c r="M253" s="22"/>
      <c r="N253" s="5" t="s">
        <v>414</v>
      </c>
      <c r="O253" s="22"/>
      <c r="P253" s="5">
        <v>54.5</v>
      </c>
      <c r="Q253" s="5">
        <f t="shared" si="49"/>
        <v>54.5</v>
      </c>
      <c r="R253" s="2">
        <f t="shared" si="48"/>
        <v>53.25</v>
      </c>
      <c r="T253" s="7">
        <f t="shared" si="39"/>
        <v>2.931938986964517E-4</v>
      </c>
      <c r="V253" s="40">
        <f>claims!D253</f>
        <v>0</v>
      </c>
      <c r="W253" s="40">
        <f>claims!E253</f>
        <v>5</v>
      </c>
      <c r="X253" s="40">
        <f>claims!F253</f>
        <v>0</v>
      </c>
      <c r="Z253" s="7">
        <f t="shared" si="42"/>
        <v>0</v>
      </c>
      <c r="AA253" s="7">
        <f t="shared" si="43"/>
        <v>0.05</v>
      </c>
      <c r="AB253" s="7">
        <f t="shared" si="44"/>
        <v>0</v>
      </c>
      <c r="AD253" s="7">
        <f t="shared" si="45"/>
        <v>1.6666666666666666E-2</v>
      </c>
    </row>
    <row r="254" spans="1:30" outlineLevel="1">
      <c r="A254" s="1" t="s">
        <v>415</v>
      </c>
      <c r="B254" s="1" t="s">
        <v>416</v>
      </c>
      <c r="C254" s="22"/>
      <c r="D254" s="5" t="s">
        <v>416</v>
      </c>
      <c r="E254" s="22"/>
      <c r="F254" s="5">
        <v>2</v>
      </c>
      <c r="G254" s="5">
        <f t="shared" si="50"/>
        <v>2</v>
      </c>
      <c r="H254" s="22"/>
      <c r="I254" s="5" t="s">
        <v>416</v>
      </c>
      <c r="J254" s="22"/>
      <c r="K254" s="5">
        <v>2</v>
      </c>
      <c r="L254" s="5">
        <f t="shared" si="51"/>
        <v>2</v>
      </c>
      <c r="M254" s="22"/>
      <c r="N254" s="5" t="s">
        <v>416</v>
      </c>
      <c r="O254" s="22"/>
      <c r="P254" s="5">
        <v>2</v>
      </c>
      <c r="Q254" s="5">
        <f t="shared" si="49"/>
        <v>2</v>
      </c>
      <c r="R254" s="2">
        <f t="shared" si="48"/>
        <v>2</v>
      </c>
      <c r="T254" s="7">
        <f t="shared" si="39"/>
        <v>1.1011977415829171E-5</v>
      </c>
      <c r="V254" s="40">
        <f>claims!D254</f>
        <v>0</v>
      </c>
      <c r="W254" s="40">
        <f>claims!E254</f>
        <v>0</v>
      </c>
      <c r="X254" s="40">
        <f>claims!F254</f>
        <v>0</v>
      </c>
      <c r="Z254" s="7">
        <f t="shared" si="42"/>
        <v>0</v>
      </c>
      <c r="AA254" s="7">
        <f t="shared" si="43"/>
        <v>0</v>
      </c>
      <c r="AB254" s="7">
        <f t="shared" si="44"/>
        <v>0</v>
      </c>
      <c r="AD254" s="7">
        <f t="shared" si="45"/>
        <v>0</v>
      </c>
    </row>
    <row r="255" spans="1:30" outlineLevel="1">
      <c r="A255" s="1" t="s">
        <v>417</v>
      </c>
      <c r="B255" s="1" t="s">
        <v>418</v>
      </c>
      <c r="C255" s="22"/>
      <c r="D255" s="5" t="s">
        <v>418</v>
      </c>
      <c r="E255" s="22"/>
      <c r="F255" s="5">
        <v>23</v>
      </c>
      <c r="G255" s="5">
        <f t="shared" si="50"/>
        <v>23</v>
      </c>
      <c r="H255" s="22"/>
      <c r="I255" s="5" t="s">
        <v>418</v>
      </c>
      <c r="J255" s="22"/>
      <c r="K255" s="5">
        <v>21</v>
      </c>
      <c r="L255" s="5">
        <f t="shared" si="51"/>
        <v>21</v>
      </c>
      <c r="M255" s="22"/>
      <c r="N255" s="5" t="s">
        <v>418</v>
      </c>
      <c r="O255" s="22"/>
      <c r="P255" s="5">
        <v>23</v>
      </c>
      <c r="Q255" s="5">
        <f t="shared" si="49"/>
        <v>23</v>
      </c>
      <c r="R255" s="2">
        <f t="shared" si="48"/>
        <v>22.333333333333332</v>
      </c>
      <c r="T255" s="7">
        <f t="shared" si="39"/>
        <v>1.2296708114342575E-4</v>
      </c>
      <c r="V255" s="40">
        <f>claims!D255</f>
        <v>0</v>
      </c>
      <c r="W255" s="40">
        <f>claims!E255</f>
        <v>0</v>
      </c>
      <c r="X255" s="40">
        <f>claims!F255</f>
        <v>0</v>
      </c>
      <c r="Z255" s="7">
        <f t="shared" si="42"/>
        <v>0</v>
      </c>
      <c r="AA255" s="7">
        <f t="shared" si="43"/>
        <v>0</v>
      </c>
      <c r="AB255" s="7">
        <f t="shared" si="44"/>
        <v>0</v>
      </c>
      <c r="AD255" s="7">
        <f t="shared" si="45"/>
        <v>0</v>
      </c>
    </row>
    <row r="256" spans="1:30" outlineLevel="1">
      <c r="A256" s="1" t="s">
        <v>419</v>
      </c>
      <c r="B256" s="1" t="s">
        <v>420</v>
      </c>
      <c r="C256" s="22"/>
      <c r="D256" s="5" t="s">
        <v>420</v>
      </c>
      <c r="E256" s="22"/>
      <c r="F256" s="5">
        <v>4</v>
      </c>
      <c r="G256" s="5">
        <f t="shared" si="50"/>
        <v>4</v>
      </c>
      <c r="H256" s="22"/>
      <c r="I256" s="5" t="s">
        <v>420</v>
      </c>
      <c r="J256" s="22"/>
      <c r="K256" s="5">
        <v>4.5</v>
      </c>
      <c r="L256" s="5">
        <f t="shared" si="51"/>
        <v>4.5</v>
      </c>
      <c r="M256" s="22"/>
      <c r="N256" s="5" t="s">
        <v>420</v>
      </c>
      <c r="O256" s="22"/>
      <c r="P256" s="5">
        <v>4</v>
      </c>
      <c r="Q256" s="5">
        <f t="shared" si="49"/>
        <v>4</v>
      </c>
      <c r="R256" s="2">
        <f t="shared" si="48"/>
        <v>4.166666666666667</v>
      </c>
      <c r="T256" s="7">
        <f t="shared" si="39"/>
        <v>2.2941619616310777E-5</v>
      </c>
      <c r="V256" s="40">
        <f>claims!D256</f>
        <v>0</v>
      </c>
      <c r="W256" s="40">
        <f>claims!E256</f>
        <v>0</v>
      </c>
      <c r="X256" s="40">
        <f>claims!F256</f>
        <v>0</v>
      </c>
      <c r="Z256" s="7">
        <f t="shared" si="42"/>
        <v>0</v>
      </c>
      <c r="AA256" s="7">
        <f t="shared" si="43"/>
        <v>0</v>
      </c>
      <c r="AB256" s="7">
        <f t="shared" si="44"/>
        <v>0</v>
      </c>
      <c r="AD256" s="7">
        <f t="shared" si="45"/>
        <v>0</v>
      </c>
    </row>
    <row r="257" spans="1:30" outlineLevel="1">
      <c r="A257" s="1" t="s">
        <v>421</v>
      </c>
      <c r="B257" s="1" t="s">
        <v>422</v>
      </c>
      <c r="C257" s="22"/>
      <c r="D257" s="5" t="s">
        <v>422</v>
      </c>
      <c r="E257" s="22"/>
      <c r="F257" s="5">
        <v>68.5</v>
      </c>
      <c r="G257" s="5">
        <f t="shared" si="50"/>
        <v>68.5</v>
      </c>
      <c r="H257" s="22"/>
      <c r="I257" s="5" t="s">
        <v>422</v>
      </c>
      <c r="J257" s="22"/>
      <c r="K257" s="5">
        <v>78</v>
      </c>
      <c r="L257" s="5">
        <f t="shared" si="51"/>
        <v>78</v>
      </c>
      <c r="M257" s="22"/>
      <c r="N257" s="5" t="s">
        <v>422</v>
      </c>
      <c r="O257" s="22"/>
      <c r="P257" s="5">
        <v>90</v>
      </c>
      <c r="Q257" s="5">
        <f t="shared" si="49"/>
        <v>90</v>
      </c>
      <c r="R257" s="2">
        <f t="shared" si="48"/>
        <v>82.416666666666671</v>
      </c>
      <c r="T257" s="7">
        <f t="shared" si="39"/>
        <v>4.5378523601062717E-4</v>
      </c>
      <c r="V257" s="40">
        <f>claims!D257</f>
        <v>0</v>
      </c>
      <c r="W257" s="40">
        <f>claims!E257</f>
        <v>2</v>
      </c>
      <c r="X257" s="40">
        <f>claims!F257</f>
        <v>3</v>
      </c>
      <c r="Z257" s="7">
        <f t="shared" si="42"/>
        <v>0</v>
      </c>
      <c r="AA257" s="7">
        <f t="shared" si="43"/>
        <v>0.02</v>
      </c>
      <c r="AB257" s="7">
        <f t="shared" si="44"/>
        <v>0.03</v>
      </c>
      <c r="AD257" s="7">
        <f t="shared" si="45"/>
        <v>2.1666666666666667E-2</v>
      </c>
    </row>
    <row r="258" spans="1:30" outlineLevel="1">
      <c r="A258" s="1" t="s">
        <v>423</v>
      </c>
      <c r="B258" s="1" t="s">
        <v>424</v>
      </c>
      <c r="C258" s="22"/>
      <c r="D258" s="5" t="s">
        <v>424</v>
      </c>
      <c r="E258" s="22"/>
      <c r="F258" s="5">
        <v>4.5</v>
      </c>
      <c r="G258" s="5">
        <f t="shared" si="50"/>
        <v>4.5</v>
      </c>
      <c r="H258" s="22"/>
      <c r="I258" s="5" t="s">
        <v>424</v>
      </c>
      <c r="J258" s="22"/>
      <c r="K258" s="5">
        <v>3.5</v>
      </c>
      <c r="L258" s="5">
        <f t="shared" si="51"/>
        <v>3.5</v>
      </c>
      <c r="M258" s="22"/>
      <c r="N258" s="5" t="s">
        <v>424</v>
      </c>
      <c r="O258" s="22"/>
      <c r="P258" s="5">
        <v>3.5</v>
      </c>
      <c r="Q258" s="5">
        <f t="shared" si="49"/>
        <v>3.5</v>
      </c>
      <c r="R258" s="2">
        <f t="shared" si="48"/>
        <v>3.6666666666666665</v>
      </c>
      <c r="T258" s="7">
        <f t="shared" si="39"/>
        <v>2.018862526235348E-5</v>
      </c>
      <c r="V258" s="40">
        <f>claims!D258</f>
        <v>0</v>
      </c>
      <c r="W258" s="40">
        <f>claims!E258</f>
        <v>0</v>
      </c>
      <c r="X258" s="40">
        <f>claims!F258</f>
        <v>0</v>
      </c>
      <c r="Z258" s="7">
        <f t="shared" si="42"/>
        <v>0</v>
      </c>
      <c r="AA258" s="7">
        <f t="shared" si="43"/>
        <v>0</v>
      </c>
      <c r="AB258" s="7">
        <f t="shared" si="44"/>
        <v>0</v>
      </c>
      <c r="AD258" s="7">
        <f t="shared" si="45"/>
        <v>0</v>
      </c>
    </row>
    <row r="259" spans="1:30" outlineLevel="1">
      <c r="A259" s="1" t="s">
        <v>549</v>
      </c>
      <c r="B259" s="1" t="s">
        <v>550</v>
      </c>
      <c r="C259" s="22"/>
      <c r="D259" s="5" t="s">
        <v>550</v>
      </c>
      <c r="E259" s="22"/>
      <c r="F259" s="5">
        <v>17</v>
      </c>
      <c r="G259" s="5">
        <f t="shared" si="50"/>
        <v>17</v>
      </c>
      <c r="H259" s="22"/>
      <c r="I259" s="5" t="s">
        <v>550</v>
      </c>
      <c r="J259" s="22"/>
      <c r="K259" s="5">
        <v>16</v>
      </c>
      <c r="L259" s="5">
        <f t="shared" si="51"/>
        <v>16</v>
      </c>
      <c r="M259" s="22"/>
      <c r="N259" s="5" t="s">
        <v>550</v>
      </c>
      <c r="O259" s="22"/>
      <c r="P259" s="5">
        <v>17</v>
      </c>
      <c r="Q259" s="5">
        <f t="shared" si="49"/>
        <v>17</v>
      </c>
      <c r="R259" s="2">
        <f t="shared" si="48"/>
        <v>16.666666666666668</v>
      </c>
      <c r="T259" s="7">
        <f t="shared" si="39"/>
        <v>9.1766478465243108E-5</v>
      </c>
      <c r="V259" s="40">
        <f>claims!D259</f>
        <v>0</v>
      </c>
      <c r="W259" s="40">
        <f>claims!E259</f>
        <v>0</v>
      </c>
      <c r="X259" s="40">
        <f>claims!F259</f>
        <v>0</v>
      </c>
      <c r="Z259" s="7">
        <f t="shared" si="42"/>
        <v>0</v>
      </c>
      <c r="AA259" s="7">
        <f t="shared" si="43"/>
        <v>0</v>
      </c>
      <c r="AB259" s="7">
        <f t="shared" si="44"/>
        <v>0</v>
      </c>
      <c r="AD259" s="7">
        <f t="shared" si="45"/>
        <v>0</v>
      </c>
    </row>
    <row r="260" spans="1:30" outlineLevel="1">
      <c r="A260" s="1" t="s">
        <v>425</v>
      </c>
      <c r="B260" s="1" t="s">
        <v>426</v>
      </c>
      <c r="C260" s="22"/>
      <c r="D260" s="5" t="s">
        <v>426</v>
      </c>
      <c r="E260" s="22"/>
      <c r="F260" s="5">
        <v>8</v>
      </c>
      <c r="G260" s="5">
        <f t="shared" si="50"/>
        <v>8</v>
      </c>
      <c r="H260" s="22"/>
      <c r="I260" s="5" t="s">
        <v>426</v>
      </c>
      <c r="J260" s="22"/>
      <c r="K260" s="5">
        <v>8</v>
      </c>
      <c r="L260" s="5">
        <f t="shared" si="51"/>
        <v>8</v>
      </c>
      <c r="M260" s="22"/>
      <c r="N260" s="5" t="s">
        <v>426</v>
      </c>
      <c r="O260" s="22"/>
      <c r="P260" s="5">
        <v>8</v>
      </c>
      <c r="Q260" s="5">
        <f t="shared" si="49"/>
        <v>8</v>
      </c>
      <c r="R260" s="2">
        <f t="shared" si="48"/>
        <v>8</v>
      </c>
      <c r="T260" s="7">
        <f t="shared" si="39"/>
        <v>4.4047909663316685E-5</v>
      </c>
      <c r="V260" s="40">
        <f>claims!D260</f>
        <v>0</v>
      </c>
      <c r="W260" s="40">
        <f>claims!E260</f>
        <v>0</v>
      </c>
      <c r="X260" s="40">
        <f>claims!F260</f>
        <v>0</v>
      </c>
      <c r="Z260" s="7">
        <f t="shared" si="42"/>
        <v>0</v>
      </c>
      <c r="AA260" s="7">
        <f t="shared" si="43"/>
        <v>0</v>
      </c>
      <c r="AB260" s="7">
        <f t="shared" si="44"/>
        <v>0</v>
      </c>
      <c r="AD260" s="7">
        <f t="shared" si="45"/>
        <v>0</v>
      </c>
    </row>
    <row r="261" spans="1:30" outlineLevel="1">
      <c r="A261" s="1" t="s">
        <v>427</v>
      </c>
      <c r="B261" s="1" t="s">
        <v>428</v>
      </c>
      <c r="C261" s="85"/>
      <c r="D261" s="71" t="s">
        <v>428</v>
      </c>
      <c r="E261" s="85"/>
      <c r="F261" s="71">
        <v>7</v>
      </c>
      <c r="G261" s="5">
        <f t="shared" si="50"/>
        <v>7</v>
      </c>
      <c r="H261" s="22"/>
      <c r="I261" s="5" t="s">
        <v>428</v>
      </c>
      <c r="J261" s="22"/>
      <c r="K261" s="5">
        <v>7</v>
      </c>
      <c r="L261" s="5">
        <f t="shared" si="51"/>
        <v>7</v>
      </c>
      <c r="M261" s="22"/>
      <c r="N261" s="5" t="s">
        <v>428</v>
      </c>
      <c r="O261" s="22"/>
      <c r="P261" s="5">
        <v>7</v>
      </c>
      <c r="Q261" s="5">
        <f t="shared" si="49"/>
        <v>7</v>
      </c>
      <c r="R261" s="2">
        <f t="shared" si="48"/>
        <v>7</v>
      </c>
      <c r="T261" s="7">
        <f t="shared" si="39"/>
        <v>3.8541920955402104E-5</v>
      </c>
      <c r="V261" s="40">
        <f>claims!D261</f>
        <v>0</v>
      </c>
      <c r="W261" s="40">
        <f>claims!E261</f>
        <v>0</v>
      </c>
      <c r="X261" s="40">
        <f>claims!F261</f>
        <v>0</v>
      </c>
      <c r="Z261" s="7">
        <f t="shared" si="42"/>
        <v>0</v>
      </c>
      <c r="AA261" s="7">
        <f t="shared" si="43"/>
        <v>0</v>
      </c>
      <c r="AB261" s="7">
        <f t="shared" si="44"/>
        <v>0</v>
      </c>
      <c r="AD261" s="7">
        <f t="shared" si="45"/>
        <v>0</v>
      </c>
    </row>
    <row r="262" spans="1:30" s="11" customFormat="1">
      <c r="B262" s="11" t="s">
        <v>472</v>
      </c>
      <c r="C262" s="86">
        <f t="shared" ref="C262:R262" si="52">SUBTOTAL(9,C140:C261)</f>
        <v>0</v>
      </c>
      <c r="D262" s="86">
        <f t="shared" si="52"/>
        <v>0</v>
      </c>
      <c r="E262" s="86">
        <f t="shared" si="52"/>
        <v>0</v>
      </c>
      <c r="F262" s="86">
        <f>SUBTOTAL(9,F140:F261)</f>
        <v>5316.5</v>
      </c>
      <c r="G262" s="5">
        <f t="shared" si="52"/>
        <v>5316.5</v>
      </c>
      <c r="H262" s="86">
        <f t="shared" si="52"/>
        <v>0</v>
      </c>
      <c r="I262" s="86">
        <f t="shared" si="52"/>
        <v>0</v>
      </c>
      <c r="J262" s="86">
        <f t="shared" si="52"/>
        <v>0</v>
      </c>
      <c r="K262" s="86">
        <f t="shared" si="52"/>
        <v>5413.5</v>
      </c>
      <c r="L262" s="5">
        <f t="shared" si="52"/>
        <v>5413.5</v>
      </c>
      <c r="M262" s="86">
        <f t="shared" si="52"/>
        <v>0</v>
      </c>
      <c r="N262" s="86">
        <f t="shared" si="52"/>
        <v>0</v>
      </c>
      <c r="O262" s="86">
        <f t="shared" si="52"/>
        <v>0</v>
      </c>
      <c r="P262" s="86">
        <f t="shared" si="52"/>
        <v>5636.5</v>
      </c>
      <c r="Q262" s="5">
        <f t="shared" si="52"/>
        <v>5636.5</v>
      </c>
      <c r="R262" s="5">
        <f t="shared" si="52"/>
        <v>5508.8333333333348</v>
      </c>
      <c r="T262" s="41">
        <f>SUBTOTAL(9,T140:T261)</f>
        <v>3.03315741271168E-2</v>
      </c>
      <c r="V262" s="65">
        <f>SUBTOTAL(9,V140:V261)</f>
        <v>39</v>
      </c>
      <c r="W262" s="65">
        <f>SUBTOTAL(9,W140:W261)</f>
        <v>67</v>
      </c>
      <c r="X262" s="65">
        <f>SUBTOTAL(9,X140:X261)</f>
        <v>53</v>
      </c>
      <c r="Z262" s="7">
        <f t="shared" si="42"/>
        <v>7.3356531552713254E-3</v>
      </c>
      <c r="AA262" s="7">
        <f t="shared" si="43"/>
        <v>1.23764662418029E-2</v>
      </c>
      <c r="AB262" s="7">
        <f t="shared" si="44"/>
        <v>9.4029983145569058E-3</v>
      </c>
      <c r="AD262" s="7">
        <f t="shared" si="45"/>
        <v>1.0049596763757974E-2</v>
      </c>
    </row>
    <row r="263" spans="1:30" ht="6" customHeight="1">
      <c r="C263" s="5"/>
      <c r="D263" s="5"/>
      <c r="E263" s="5"/>
      <c r="F263" s="5"/>
      <c r="G263" s="37"/>
      <c r="H263" s="5"/>
      <c r="I263" s="5"/>
      <c r="J263" s="5"/>
      <c r="K263" s="5"/>
      <c r="L263" s="37"/>
      <c r="M263" s="5"/>
      <c r="N263" s="5"/>
      <c r="O263" s="5"/>
      <c r="P263" s="5"/>
      <c r="Q263" s="37"/>
      <c r="R263" s="62"/>
      <c r="S263" s="56"/>
      <c r="T263" s="56"/>
      <c r="V263" s="64"/>
      <c r="W263" s="64"/>
      <c r="X263" s="64"/>
    </row>
    <row r="264" spans="1:30" s="11" customFormat="1" ht="13.5" thickBot="1">
      <c r="C264" s="60">
        <f t="shared" ref="C264:R264" si="53">SUBTOTAL(9,C4:C263)</f>
        <v>171889.20000000007</v>
      </c>
      <c r="D264" s="60">
        <f t="shared" si="53"/>
        <v>169001.70000000007</v>
      </c>
      <c r="E264" s="60">
        <f t="shared" si="53"/>
        <v>168963.5</v>
      </c>
      <c r="F264" s="60">
        <f t="shared" si="53"/>
        <v>166849.1</v>
      </c>
      <c r="G264" s="5">
        <f t="shared" si="53"/>
        <v>173819.9500000001</v>
      </c>
      <c r="H264" s="60">
        <f t="shared" si="53"/>
        <v>172185.50000000009</v>
      </c>
      <c r="I264" s="60">
        <f t="shared" si="53"/>
        <v>172277.00000000003</v>
      </c>
      <c r="J264" s="60">
        <f t="shared" si="53"/>
        <v>175752.19999999995</v>
      </c>
      <c r="K264" s="60">
        <f t="shared" si="53"/>
        <v>174183.19999999992</v>
      </c>
      <c r="L264" s="5">
        <f t="shared" si="53"/>
        <v>178340</v>
      </c>
      <c r="M264" s="60">
        <f t="shared" si="53"/>
        <v>180919.1</v>
      </c>
      <c r="N264" s="60">
        <f t="shared" si="53"/>
        <v>181168.5</v>
      </c>
      <c r="O264" s="60">
        <f t="shared" si="53"/>
        <v>182653.79999999996</v>
      </c>
      <c r="P264" s="60">
        <f t="shared" si="53"/>
        <v>180892.69999999998</v>
      </c>
      <c r="Q264" s="60">
        <f t="shared" si="53"/>
        <v>186358.07499999995</v>
      </c>
      <c r="R264" s="60">
        <f t="shared" si="53"/>
        <v>181620.42333333331</v>
      </c>
      <c r="T264" s="61">
        <f>SUBTOTAL(9,T4:T261)</f>
        <v>0.99999999999999978</v>
      </c>
      <c r="V264" s="63">
        <f>SUBTOTAL(9,V4:V263)</f>
        <v>5541</v>
      </c>
      <c r="W264" s="63">
        <f>SUBTOTAL(9,W4:W263)</f>
        <v>5321</v>
      </c>
      <c r="X264" s="63">
        <f>SUBTOTAL(9,X4:X263)</f>
        <v>5839</v>
      </c>
      <c r="Z264" s="61">
        <f t="shared" ref="Z264" si="54">IF(G264&gt;100,IF(V264&lt;1,0,+V264/G264),IF(V264&lt;1,0,+V264/100))</f>
        <v>3.1877813795251911E-2</v>
      </c>
      <c r="AA264" s="61">
        <f>IF(L264&gt;100,IF(W264&lt;1,0,+W264/L264),IF(W264&lt;1,0,+W264/100))</f>
        <v>2.9836267803072782E-2</v>
      </c>
      <c r="AB264" s="61">
        <f>IF(Q264&gt;100,IF(X264&lt;1,0,+X264/Q264),IF(X264&lt;1,0,+X264/100))</f>
        <v>3.1332154509537628E-2</v>
      </c>
      <c r="AD264" s="61">
        <f>(+Z264+(AA264*2)+(AB264*3))/6</f>
        <v>3.0924468821668393E-2</v>
      </c>
    </row>
    <row r="265" spans="1:30" ht="13.5" thickTop="1"/>
    <row r="266" spans="1:30">
      <c r="C266" s="5"/>
      <c r="D266" s="5"/>
      <c r="E266" s="5"/>
      <c r="F266" s="5"/>
      <c r="H266" s="5"/>
      <c r="I266" s="5"/>
      <c r="J266" s="5"/>
      <c r="K266" s="5"/>
      <c r="M266" s="5"/>
      <c r="N266" s="5"/>
      <c r="O266" s="5"/>
      <c r="P266" s="5"/>
    </row>
    <row r="267" spans="1:30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37"/>
      <c r="N267" s="37"/>
      <c r="O267" s="37"/>
      <c r="P267" s="37"/>
      <c r="Q267" s="5"/>
    </row>
    <row r="268" spans="1:30">
      <c r="C268" s="5"/>
      <c r="D268" s="5"/>
      <c r="E268" s="5"/>
      <c r="F268" s="5"/>
      <c r="H268" s="5"/>
      <c r="I268" s="5"/>
      <c r="J268" s="5"/>
      <c r="K268" s="5"/>
      <c r="M268" s="5"/>
      <c r="N268" s="5"/>
      <c r="O268" s="5"/>
      <c r="P268" s="5"/>
    </row>
    <row r="269" spans="1:30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</row>
    <row r="270" spans="1:30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</row>
    <row r="271" spans="1:30">
      <c r="C271" s="5"/>
      <c r="D271" s="5"/>
      <c r="E271" s="5"/>
      <c r="F271" s="5"/>
      <c r="P271" s="5"/>
    </row>
    <row r="273" spans="13:16">
      <c r="M273" s="5"/>
      <c r="N273" s="5"/>
      <c r="O273" s="5"/>
      <c r="P273" s="5"/>
    </row>
  </sheetData>
  <autoFilter ref="Z5:AB262" xr:uid="{00000000-0009-0000-0000-000003000000}"/>
  <sortState xmlns:xlrd2="http://schemas.microsoft.com/office/spreadsheetml/2017/richdata2" ref="A140:AI261">
    <sortCondition ref="A140:A261"/>
  </sortState>
  <phoneticPr fontId="5" type="noConversion"/>
  <printOptions horizontalCentered="1"/>
  <pageMargins left="0.25" right="0.25" top="0.95" bottom="0.5" header="0.5" footer="0.25"/>
  <pageSetup scale="74" orientation="landscape" horizontalDpi="4294967292" r:id="rId1"/>
  <headerFooter alignWithMargins="0">
    <oddHeader>&amp;C&amp;"Arial,Bold"&amp;14State Office of Risk Management
FY 2026 Assessment Amounts</oddHeader>
    <oddFooter>&amp;L &amp;D&amp;CPage &amp;P of &amp;N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C276"/>
  <sheetViews>
    <sheetView view="pageBreakPreview" zoomScaleNormal="100" zoomScaleSheetLayoutView="100" workbookViewId="0"/>
  </sheetViews>
  <sheetFormatPr defaultColWidth="9.140625" defaultRowHeight="12.75" outlineLevelRow="1"/>
  <cols>
    <col min="1" max="1" width="5.28515625" style="1" customWidth="1"/>
    <col min="2" max="2" width="32.85546875" style="1" customWidth="1"/>
    <col min="3" max="3" width="2.140625" style="1" customWidth="1"/>
    <col min="4" max="4" width="8.140625" style="11" customWidth="1"/>
    <col min="5" max="6" width="8.5703125" style="11" bestFit="1" customWidth="1"/>
    <col min="7" max="7" width="9" style="1" customWidth="1"/>
    <col min="8" max="8" width="2.5703125" style="1" customWidth="1"/>
    <col min="9" max="9" width="10" style="1" customWidth="1"/>
    <col min="10" max="10" width="9.140625" style="1"/>
    <col min="11" max="11" width="9.28515625" style="1" customWidth="1"/>
    <col min="12" max="12" width="9.140625" style="1"/>
    <col min="13" max="13" width="12.85546875" style="1" bestFit="1" customWidth="1"/>
    <col min="14" max="15" width="1.140625" style="1" customWidth="1"/>
    <col min="16" max="16" width="9.140625" style="1"/>
    <col min="17" max="17" width="1.5703125" style="1" customWidth="1"/>
    <col min="18" max="18" width="9.7109375" style="9" customWidth="1"/>
    <col min="19" max="19" width="1.5703125" style="1" customWidth="1"/>
    <col min="20" max="20" width="12.7109375" style="1" customWidth="1"/>
    <col min="21" max="21" width="1.5703125" style="1" customWidth="1"/>
    <col min="22" max="22" width="7.85546875" style="1" customWidth="1"/>
    <col min="23" max="23" width="1.140625" style="1" customWidth="1"/>
    <col min="24" max="24" width="12.5703125" style="1" customWidth="1"/>
    <col min="25" max="25" width="2.140625" style="1" customWidth="1"/>
    <col min="26" max="26" width="9.28515625" style="1" customWidth="1"/>
    <col min="27" max="27" width="1.140625" style="1" customWidth="1"/>
    <col min="28" max="29" width="0" style="1" hidden="1" customWidth="1"/>
    <col min="30" max="16384" width="9.140625" style="1"/>
  </cols>
  <sheetData>
    <row r="1" spans="1:29">
      <c r="H1" s="12"/>
      <c r="I1" s="12" t="s">
        <v>431</v>
      </c>
      <c r="J1" s="12"/>
      <c r="K1" s="12"/>
      <c r="L1" s="12" t="s">
        <v>466</v>
      </c>
      <c r="M1" s="12"/>
      <c r="N1" s="12"/>
      <c r="O1" s="12"/>
      <c r="P1" s="12" t="s">
        <v>432</v>
      </c>
      <c r="R1" s="12"/>
      <c r="T1" s="12" t="s">
        <v>433</v>
      </c>
      <c r="X1" s="12" t="s">
        <v>434</v>
      </c>
    </row>
    <row r="2" spans="1:29">
      <c r="A2" s="12" t="s">
        <v>449</v>
      </c>
      <c r="B2" s="19"/>
      <c r="D2" s="12" t="s">
        <v>563</v>
      </c>
      <c r="E2" s="12" t="s">
        <v>585</v>
      </c>
      <c r="F2" s="12" t="s">
        <v>593</v>
      </c>
      <c r="G2" s="12"/>
      <c r="H2" s="12"/>
      <c r="I2" s="12" t="s">
        <v>430</v>
      </c>
      <c r="J2" s="12" t="s">
        <v>435</v>
      </c>
      <c r="K2" s="12" t="s">
        <v>2</v>
      </c>
      <c r="L2" s="12" t="s">
        <v>430</v>
      </c>
      <c r="M2" s="12" t="s">
        <v>443</v>
      </c>
      <c r="N2" s="12"/>
      <c r="O2" s="12"/>
      <c r="P2" s="12" t="s">
        <v>430</v>
      </c>
      <c r="R2" s="12" t="s">
        <v>3</v>
      </c>
      <c r="T2" s="12" t="s">
        <v>3</v>
      </c>
      <c r="V2" s="12" t="s">
        <v>4</v>
      </c>
      <c r="X2" s="87">
        <v>0.02</v>
      </c>
      <c r="Z2" s="12"/>
    </row>
    <row r="3" spans="1:29">
      <c r="A3" s="13" t="s">
        <v>447</v>
      </c>
      <c r="B3" s="13" t="s">
        <v>448</v>
      </c>
      <c r="C3" s="13"/>
      <c r="D3" s="13" t="s">
        <v>437</v>
      </c>
      <c r="E3" s="13" t="s">
        <v>437</v>
      </c>
      <c r="F3" s="13" t="s">
        <v>437</v>
      </c>
      <c r="G3" s="13" t="s">
        <v>456</v>
      </c>
      <c r="H3" s="13"/>
      <c r="I3" s="13" t="s">
        <v>437</v>
      </c>
      <c r="J3" s="13" t="s">
        <v>438</v>
      </c>
      <c r="K3" s="13" t="s">
        <v>465</v>
      </c>
      <c r="L3" s="13" t="s">
        <v>437</v>
      </c>
      <c r="M3" s="13" t="s">
        <v>444</v>
      </c>
      <c r="N3" s="13"/>
      <c r="O3" s="13"/>
      <c r="P3" s="13" t="s">
        <v>437</v>
      </c>
      <c r="R3" s="13" t="s">
        <v>5</v>
      </c>
      <c r="S3" s="13"/>
      <c r="T3" s="13" t="s">
        <v>6</v>
      </c>
      <c r="U3" s="13"/>
      <c r="V3" s="13" t="s">
        <v>1</v>
      </c>
      <c r="W3" s="13"/>
      <c r="X3" s="13" t="s">
        <v>439</v>
      </c>
      <c r="Y3" s="13"/>
      <c r="Z3" s="13" t="s">
        <v>440</v>
      </c>
      <c r="AA3" s="13"/>
      <c r="AB3" s="13"/>
      <c r="AC3" s="13"/>
    </row>
    <row r="4" spans="1:29">
      <c r="I4" s="7"/>
      <c r="J4" s="7"/>
      <c r="K4" s="7"/>
      <c r="L4" s="7"/>
      <c r="M4" s="7"/>
      <c r="N4" s="7"/>
      <c r="P4" s="7"/>
    </row>
    <row r="5" spans="1:29">
      <c r="A5" s="1" t="s">
        <v>7</v>
      </c>
      <c r="B5" s="1" t="s">
        <v>500</v>
      </c>
      <c r="D5" s="88">
        <v>0</v>
      </c>
      <c r="E5" s="88">
        <v>0</v>
      </c>
      <c r="F5" s="88">
        <v>0</v>
      </c>
      <c r="G5" s="1">
        <f t="shared" ref="G5:G55" si="0">SUM(D5:F5)</f>
        <v>0</v>
      </c>
      <c r="I5" s="6">
        <f>AVERAGE(D5:F5)</f>
        <v>0</v>
      </c>
      <c r="J5" s="7">
        <f>IFR!AD5</f>
        <v>0</v>
      </c>
      <c r="K5" s="8">
        <f t="shared" ref="K5:K68" si="1">IF(+J5&lt;$E$267,$I$267,IF(J5&gt;$E$269,$I$269,$I$268))</f>
        <v>0.95</v>
      </c>
      <c r="L5" s="6">
        <f>+I5*K5</f>
        <v>0</v>
      </c>
      <c r="M5" s="8">
        <v>1</v>
      </c>
      <c r="N5" s="8">
        <v>1</v>
      </c>
      <c r="P5" s="6">
        <f>+L5*M5*N5</f>
        <v>0</v>
      </c>
      <c r="R5" s="9">
        <f t="shared" ref="R5:R68" si="2">+P5/$P$264</f>
        <v>0</v>
      </c>
      <c r="T5" s="10">
        <f>+R5*([1]assessment!$J$272*[1]assessment!$E$3)</f>
        <v>0</v>
      </c>
      <c r="V5" s="7">
        <f>+T5/[1]payroll!$F5</f>
        <v>0</v>
      </c>
      <c r="X5" s="10">
        <f>IF(V5&lt;$X$2,T5,[1]payroll!$F5*$X$2)</f>
        <v>0</v>
      </c>
      <c r="Z5" s="10">
        <f>+T5-X5</f>
        <v>0</v>
      </c>
      <c r="AB5" s="1" t="e">
        <f>+X5/T5</f>
        <v>#DIV/0!</v>
      </c>
    </row>
    <row r="6" spans="1:29">
      <c r="A6" s="1" t="s">
        <v>8</v>
      </c>
      <c r="B6" s="1" t="s">
        <v>501</v>
      </c>
      <c r="D6" s="88">
        <v>1</v>
      </c>
      <c r="E6" s="88">
        <v>1</v>
      </c>
      <c r="F6" s="88">
        <v>1</v>
      </c>
      <c r="G6" s="1">
        <f t="shared" si="0"/>
        <v>3</v>
      </c>
      <c r="I6" s="6">
        <f t="shared" ref="I6:I69" si="3">AVERAGE(D6:F6)</f>
        <v>1</v>
      </c>
      <c r="J6" s="7">
        <f>IFR!AD6</f>
        <v>1.390351309247552E-3</v>
      </c>
      <c r="K6" s="8">
        <f t="shared" si="1"/>
        <v>0.95</v>
      </c>
      <c r="L6" s="6">
        <f>+I6*K6</f>
        <v>0.95</v>
      </c>
      <c r="M6" s="8">
        <v>1</v>
      </c>
      <c r="N6" s="8">
        <v>1</v>
      </c>
      <c r="P6" s="6">
        <f>+L6*M6*N6</f>
        <v>0.95</v>
      </c>
      <c r="R6" s="9">
        <f t="shared" si="2"/>
        <v>1.7176124584156996E-4</v>
      </c>
      <c r="T6" s="10">
        <f>+R6*([1]assessment!$J$272*[1]assessment!$E$3)</f>
        <v>1546.5569451810434</v>
      </c>
      <c r="V6" s="7">
        <f>+T6/[1]payroll!$F6</f>
        <v>3.8729642345887724E-5</v>
      </c>
      <c r="X6" s="10">
        <f>IF(V6&lt;$X$2,T6,[1]payroll!$F6*$X$2)</f>
        <v>1546.5569451810434</v>
      </c>
      <c r="Z6" s="10">
        <f t="shared" ref="Z6:Z68" si="4">+T6-X6</f>
        <v>0</v>
      </c>
      <c r="AB6" s="1">
        <f t="shared" ref="AB6:AB68" si="5">+X6/T6</f>
        <v>1</v>
      </c>
    </row>
    <row r="7" spans="1:29">
      <c r="A7" s="1" t="s">
        <v>9</v>
      </c>
      <c r="B7" s="1" t="s">
        <v>10</v>
      </c>
      <c r="D7" s="88">
        <v>0</v>
      </c>
      <c r="E7" s="88">
        <v>0</v>
      </c>
      <c r="F7" s="88">
        <v>0</v>
      </c>
      <c r="G7" s="1">
        <f t="shared" si="0"/>
        <v>0</v>
      </c>
      <c r="I7" s="6">
        <f t="shared" si="3"/>
        <v>0</v>
      </c>
      <c r="J7" s="7">
        <f>IFR!AD7</f>
        <v>0</v>
      </c>
      <c r="K7" s="8">
        <f t="shared" si="1"/>
        <v>0.95</v>
      </c>
      <c r="L7" s="6">
        <f t="shared" ref="L7:L69" si="6">+I7*K7</f>
        <v>0</v>
      </c>
      <c r="M7" s="8">
        <v>1</v>
      </c>
      <c r="N7" s="8">
        <v>1</v>
      </c>
      <c r="P7" s="6">
        <f t="shared" ref="P7:P69" si="7">+L7*M7*N7</f>
        <v>0</v>
      </c>
      <c r="R7" s="9">
        <f t="shared" si="2"/>
        <v>0</v>
      </c>
      <c r="T7" s="10">
        <f>+R7*([1]assessment!$J$272*[1]assessment!$E$3)</f>
        <v>0</v>
      </c>
      <c r="V7" s="7">
        <f>+T7/[1]payroll!$F7</f>
        <v>0</v>
      </c>
      <c r="X7" s="10">
        <f>IF(V7&lt;$X$2,T7,[1]payroll!$F7*$X$2)</f>
        <v>0</v>
      </c>
      <c r="Z7" s="10">
        <f t="shared" si="4"/>
        <v>0</v>
      </c>
      <c r="AB7" s="1" t="e">
        <f t="shared" si="5"/>
        <v>#DIV/0!</v>
      </c>
    </row>
    <row r="8" spans="1:29">
      <c r="A8" s="1" t="s">
        <v>11</v>
      </c>
      <c r="B8" s="1" t="s">
        <v>12</v>
      </c>
      <c r="D8" s="88">
        <v>0</v>
      </c>
      <c r="E8" s="88">
        <v>0</v>
      </c>
      <c r="F8" s="88">
        <v>0</v>
      </c>
      <c r="G8" s="1">
        <f t="shared" si="0"/>
        <v>0</v>
      </c>
      <c r="I8" s="6">
        <f t="shared" si="3"/>
        <v>0</v>
      </c>
      <c r="J8" s="7">
        <f>IFR!AD8</f>
        <v>0</v>
      </c>
      <c r="K8" s="8">
        <f t="shared" si="1"/>
        <v>0.95</v>
      </c>
      <c r="L8" s="6">
        <f t="shared" si="6"/>
        <v>0</v>
      </c>
      <c r="M8" s="8">
        <v>1</v>
      </c>
      <c r="N8" s="8">
        <v>1</v>
      </c>
      <c r="P8" s="6">
        <f t="shared" si="7"/>
        <v>0</v>
      </c>
      <c r="R8" s="9">
        <f t="shared" si="2"/>
        <v>0</v>
      </c>
      <c r="T8" s="10">
        <f>+R8*([1]assessment!$J$272*[1]assessment!$E$3)</f>
        <v>0</v>
      </c>
      <c r="V8" s="7">
        <f>+T8/[1]payroll!$F8</f>
        <v>0</v>
      </c>
      <c r="X8" s="10">
        <f>IF(V8&lt;$X$2,T8,[1]payroll!$F8*$X$2)</f>
        <v>0</v>
      </c>
      <c r="Z8" s="10">
        <f t="shared" si="4"/>
        <v>0</v>
      </c>
      <c r="AB8" s="1" t="e">
        <f t="shared" si="5"/>
        <v>#DIV/0!</v>
      </c>
    </row>
    <row r="9" spans="1:29">
      <c r="A9" s="1" t="s">
        <v>13</v>
      </c>
      <c r="B9" s="1" t="s">
        <v>14</v>
      </c>
      <c r="D9" s="88">
        <v>0</v>
      </c>
      <c r="E9" s="88">
        <v>0</v>
      </c>
      <c r="F9" s="88">
        <v>0</v>
      </c>
      <c r="G9" s="1">
        <f t="shared" si="0"/>
        <v>0</v>
      </c>
      <c r="I9" s="6">
        <f t="shared" si="3"/>
        <v>0</v>
      </c>
      <c r="J9" s="7">
        <f>IFR!AD9</f>
        <v>0</v>
      </c>
      <c r="K9" s="8">
        <f t="shared" si="1"/>
        <v>0.95</v>
      </c>
      <c r="L9" s="6">
        <f t="shared" si="6"/>
        <v>0</v>
      </c>
      <c r="M9" s="8">
        <v>1</v>
      </c>
      <c r="N9" s="8">
        <v>1</v>
      </c>
      <c r="P9" s="6">
        <f t="shared" si="7"/>
        <v>0</v>
      </c>
      <c r="R9" s="9">
        <f t="shared" si="2"/>
        <v>0</v>
      </c>
      <c r="T9" s="10">
        <f>+R9*([1]assessment!$J$272*[1]assessment!$E$3)</f>
        <v>0</v>
      </c>
      <c r="V9" s="7">
        <f>+T9/[1]payroll!$F9</f>
        <v>0</v>
      </c>
      <c r="X9" s="10">
        <f>IF(V9&lt;$X$2,T9,[1]payroll!$F9*$X$2)</f>
        <v>0</v>
      </c>
      <c r="Z9" s="10">
        <f t="shared" si="4"/>
        <v>0</v>
      </c>
      <c r="AB9" s="1" t="e">
        <f t="shared" si="5"/>
        <v>#DIV/0!</v>
      </c>
    </row>
    <row r="10" spans="1:29">
      <c r="A10" s="1" t="s">
        <v>15</v>
      </c>
      <c r="B10" s="1" t="s">
        <v>16</v>
      </c>
      <c r="D10" s="88">
        <v>0</v>
      </c>
      <c r="E10" s="88">
        <v>0</v>
      </c>
      <c r="F10" s="88">
        <v>0</v>
      </c>
      <c r="G10" s="1">
        <f t="shared" si="0"/>
        <v>0</v>
      </c>
      <c r="I10" s="6">
        <f t="shared" si="3"/>
        <v>0</v>
      </c>
      <c r="J10" s="7">
        <f>IFR!AD10</f>
        <v>0</v>
      </c>
      <c r="K10" s="8">
        <f t="shared" si="1"/>
        <v>0.95</v>
      </c>
      <c r="L10" s="6">
        <f t="shared" si="6"/>
        <v>0</v>
      </c>
      <c r="M10" s="8">
        <v>1</v>
      </c>
      <c r="N10" s="8">
        <v>1</v>
      </c>
      <c r="P10" s="6">
        <f t="shared" si="7"/>
        <v>0</v>
      </c>
      <c r="R10" s="9">
        <f t="shared" si="2"/>
        <v>0</v>
      </c>
      <c r="T10" s="10">
        <f>+R10*([1]assessment!$J$272*[1]assessment!$E$3)</f>
        <v>0</v>
      </c>
      <c r="V10" s="7">
        <f>+T10/[1]payroll!$F10</f>
        <v>0</v>
      </c>
      <c r="X10" s="10">
        <f>IF(V10&lt;$X$2,T10,[1]payroll!$F10*$X$2)</f>
        <v>0</v>
      </c>
      <c r="Z10" s="10">
        <f t="shared" si="4"/>
        <v>0</v>
      </c>
      <c r="AB10" s="1" t="e">
        <f t="shared" si="5"/>
        <v>#DIV/0!</v>
      </c>
    </row>
    <row r="11" spans="1:29">
      <c r="A11" s="1" t="s">
        <v>17</v>
      </c>
      <c r="B11" s="1" t="s">
        <v>18</v>
      </c>
      <c r="D11" s="88">
        <v>0</v>
      </c>
      <c r="E11" s="88">
        <v>1</v>
      </c>
      <c r="F11" s="88">
        <v>0</v>
      </c>
      <c r="G11" s="1">
        <f t="shared" si="0"/>
        <v>1</v>
      </c>
      <c r="I11" s="6">
        <f t="shared" si="3"/>
        <v>0.33333333333333331</v>
      </c>
      <c r="J11" s="7">
        <f>IFR!AD11</f>
        <v>3.3333333333333335E-3</v>
      </c>
      <c r="K11" s="8">
        <f t="shared" si="1"/>
        <v>0.95</v>
      </c>
      <c r="L11" s="6">
        <f t="shared" si="6"/>
        <v>0.31666666666666665</v>
      </c>
      <c r="M11" s="8">
        <v>1</v>
      </c>
      <c r="N11" s="8">
        <v>1</v>
      </c>
      <c r="P11" s="6">
        <f>+L11*M11*N11</f>
        <v>0.31666666666666665</v>
      </c>
      <c r="R11" s="9">
        <f t="shared" si="2"/>
        <v>5.7253748613856657E-5</v>
      </c>
      <c r="T11" s="10">
        <f>+R11*([1]assessment!$J$272*[1]assessment!$E$3)</f>
        <v>515.51898172701442</v>
      </c>
      <c r="V11" s="7">
        <f>+T11/[1]payroll!$F11</f>
        <v>6.8282331467277787E-5</v>
      </c>
      <c r="X11" s="10">
        <f>IF(V11&lt;$X$2,T11,[1]payroll!$F11*$X$2)</f>
        <v>515.51898172701442</v>
      </c>
      <c r="Z11" s="10">
        <f t="shared" si="4"/>
        <v>0</v>
      </c>
      <c r="AB11" s="1">
        <f t="shared" si="5"/>
        <v>1</v>
      </c>
    </row>
    <row r="12" spans="1:29">
      <c r="A12" s="1" t="s">
        <v>19</v>
      </c>
      <c r="B12" s="1" t="s">
        <v>20</v>
      </c>
      <c r="D12" s="88">
        <v>0</v>
      </c>
      <c r="E12" s="88">
        <v>0</v>
      </c>
      <c r="F12" s="88">
        <v>0</v>
      </c>
      <c r="G12" s="1">
        <f t="shared" si="0"/>
        <v>0</v>
      </c>
      <c r="I12" s="6">
        <f t="shared" si="3"/>
        <v>0</v>
      </c>
      <c r="J12" s="7">
        <f>IFR!AD12</f>
        <v>0</v>
      </c>
      <c r="K12" s="8">
        <f t="shared" si="1"/>
        <v>0.95</v>
      </c>
      <c r="L12" s="6">
        <f t="shared" si="6"/>
        <v>0</v>
      </c>
      <c r="M12" s="8">
        <v>1</v>
      </c>
      <c r="N12" s="8">
        <v>1</v>
      </c>
      <c r="P12" s="6">
        <f t="shared" si="7"/>
        <v>0</v>
      </c>
      <c r="R12" s="9">
        <f t="shared" si="2"/>
        <v>0</v>
      </c>
      <c r="T12" s="10">
        <f>+R12*([1]assessment!$J$272*[1]assessment!$E$3)</f>
        <v>0</v>
      </c>
      <c r="V12" s="7">
        <f>+T12/[1]payroll!$F12</f>
        <v>0</v>
      </c>
      <c r="X12" s="10">
        <f>IF(V12&lt;$X$2,T12,[1]payroll!$F12*$X$2)</f>
        <v>0</v>
      </c>
      <c r="Z12" s="10">
        <f t="shared" si="4"/>
        <v>0</v>
      </c>
      <c r="AB12" s="1" t="e">
        <f t="shared" si="5"/>
        <v>#DIV/0!</v>
      </c>
    </row>
    <row r="13" spans="1:29">
      <c r="A13" s="1" t="s">
        <v>21</v>
      </c>
      <c r="B13" s="1" t="s">
        <v>22</v>
      </c>
      <c r="D13" s="88">
        <v>0</v>
      </c>
      <c r="E13" s="88">
        <v>0</v>
      </c>
      <c r="F13" s="88">
        <v>0</v>
      </c>
      <c r="G13" s="1">
        <f t="shared" si="0"/>
        <v>0</v>
      </c>
      <c r="I13" s="6">
        <f t="shared" si="3"/>
        <v>0</v>
      </c>
      <c r="J13" s="7">
        <f>IFR!AD13</f>
        <v>0</v>
      </c>
      <c r="K13" s="8">
        <f t="shared" si="1"/>
        <v>0.95</v>
      </c>
      <c r="L13" s="6">
        <f t="shared" si="6"/>
        <v>0</v>
      </c>
      <c r="M13" s="8">
        <v>1</v>
      </c>
      <c r="N13" s="8">
        <v>1</v>
      </c>
      <c r="P13" s="6">
        <f t="shared" si="7"/>
        <v>0</v>
      </c>
      <c r="R13" s="9">
        <f t="shared" si="2"/>
        <v>0</v>
      </c>
      <c r="T13" s="10">
        <f>+R13*([1]assessment!$J$272*[1]assessment!$E$3)</f>
        <v>0</v>
      </c>
      <c r="V13" s="7">
        <f>+T13/[1]payroll!$F13</f>
        <v>0</v>
      </c>
      <c r="X13" s="10">
        <f>IF(V13&lt;$X$2,T13,[1]payroll!$F13*$X$2)</f>
        <v>0</v>
      </c>
      <c r="Z13" s="10">
        <f t="shared" si="4"/>
        <v>0</v>
      </c>
      <c r="AB13" s="1" t="e">
        <f t="shared" si="5"/>
        <v>#DIV/0!</v>
      </c>
    </row>
    <row r="14" spans="1:29">
      <c r="A14" s="1" t="s">
        <v>23</v>
      </c>
      <c r="B14" s="1" t="s">
        <v>24</v>
      </c>
      <c r="D14" s="88">
        <v>0</v>
      </c>
      <c r="E14" s="88">
        <v>0</v>
      </c>
      <c r="F14" s="88">
        <v>0</v>
      </c>
      <c r="G14" s="1">
        <f t="shared" si="0"/>
        <v>0</v>
      </c>
      <c r="I14" s="6">
        <f t="shared" si="3"/>
        <v>0</v>
      </c>
      <c r="J14" s="7">
        <f>IFR!AD14</f>
        <v>0</v>
      </c>
      <c r="K14" s="8">
        <f t="shared" si="1"/>
        <v>0.95</v>
      </c>
      <c r="L14" s="6">
        <f t="shared" si="6"/>
        <v>0</v>
      </c>
      <c r="M14" s="8">
        <v>1</v>
      </c>
      <c r="N14" s="8">
        <v>1</v>
      </c>
      <c r="P14" s="6">
        <f t="shared" si="7"/>
        <v>0</v>
      </c>
      <c r="R14" s="9">
        <f t="shared" si="2"/>
        <v>0</v>
      </c>
      <c r="T14" s="10">
        <f>+R14*([1]assessment!$J$272*[1]assessment!$E$3)</f>
        <v>0</v>
      </c>
      <c r="V14" s="7">
        <f>+T14/[1]payroll!$F14</f>
        <v>0</v>
      </c>
      <c r="X14" s="10">
        <f>IF(V14&lt;$X$2,T14,[1]payroll!$F14*$X$2)</f>
        <v>0</v>
      </c>
      <c r="Z14" s="10">
        <f t="shared" si="4"/>
        <v>0</v>
      </c>
      <c r="AB14" s="1" t="e">
        <f t="shared" si="5"/>
        <v>#DIV/0!</v>
      </c>
    </row>
    <row r="15" spans="1:29">
      <c r="A15" s="1" t="s">
        <v>25</v>
      </c>
      <c r="B15" s="1" t="s">
        <v>26</v>
      </c>
      <c r="D15" s="88">
        <v>0</v>
      </c>
      <c r="E15" s="88">
        <v>0</v>
      </c>
      <c r="F15" s="88">
        <v>0</v>
      </c>
      <c r="G15" s="1">
        <f t="shared" si="0"/>
        <v>0</v>
      </c>
      <c r="I15" s="6">
        <f t="shared" si="3"/>
        <v>0</v>
      </c>
      <c r="J15" s="7">
        <f>IFR!AD15</f>
        <v>0</v>
      </c>
      <c r="K15" s="8">
        <f t="shared" si="1"/>
        <v>0.95</v>
      </c>
      <c r="L15" s="6">
        <f t="shared" si="6"/>
        <v>0</v>
      </c>
      <c r="M15" s="8">
        <v>1</v>
      </c>
      <c r="N15" s="8">
        <v>1</v>
      </c>
      <c r="P15" s="6">
        <f t="shared" si="7"/>
        <v>0</v>
      </c>
      <c r="R15" s="9">
        <f t="shared" si="2"/>
        <v>0</v>
      </c>
      <c r="T15" s="10">
        <f>+R15*([1]assessment!$J$272*[1]assessment!$E$3)</f>
        <v>0</v>
      </c>
      <c r="V15" s="7">
        <f>+T15/[1]payroll!$F15</f>
        <v>0</v>
      </c>
      <c r="X15" s="10">
        <f>IF(V15&lt;$X$2,T15,[1]payroll!$F15*$X$2)</f>
        <v>0</v>
      </c>
      <c r="Z15" s="10">
        <f t="shared" si="4"/>
        <v>0</v>
      </c>
      <c r="AB15" s="1" t="e">
        <f t="shared" si="5"/>
        <v>#DIV/0!</v>
      </c>
    </row>
    <row r="16" spans="1:29">
      <c r="A16" s="1" t="s">
        <v>532</v>
      </c>
      <c r="B16" s="1" t="s">
        <v>555</v>
      </c>
      <c r="D16" s="88">
        <v>0</v>
      </c>
      <c r="E16" s="88">
        <v>0</v>
      </c>
      <c r="F16" s="88">
        <v>0</v>
      </c>
      <c r="G16" s="1">
        <f t="shared" si="0"/>
        <v>0</v>
      </c>
      <c r="I16" s="6">
        <f>AVERAGE(D16:F16)</f>
        <v>0</v>
      </c>
      <c r="J16" s="7">
        <f>IFR!AD16</f>
        <v>0</v>
      </c>
      <c r="K16" s="8">
        <f t="shared" si="1"/>
        <v>0.95</v>
      </c>
      <c r="L16" s="6">
        <f t="shared" si="6"/>
        <v>0</v>
      </c>
      <c r="M16" s="8">
        <v>1</v>
      </c>
      <c r="N16" s="8">
        <v>1</v>
      </c>
      <c r="P16" s="6">
        <f t="shared" si="7"/>
        <v>0</v>
      </c>
      <c r="R16" s="9">
        <f t="shared" si="2"/>
        <v>0</v>
      </c>
      <c r="T16" s="10">
        <f>+R16*([1]assessment!$J$272*[1]assessment!$E$3)</f>
        <v>0</v>
      </c>
      <c r="V16" s="7">
        <f>+T16/[1]payroll!$F16</f>
        <v>0</v>
      </c>
      <c r="X16" s="10">
        <f>IF(V16&lt;$X$2,T16,[1]payroll!$F16*$X$2)</f>
        <v>0</v>
      </c>
      <c r="Z16" s="10">
        <f t="shared" si="4"/>
        <v>0</v>
      </c>
      <c r="AB16" s="1" t="e">
        <f t="shared" si="5"/>
        <v>#DIV/0!</v>
      </c>
    </row>
    <row r="17" spans="1:28">
      <c r="A17" s="1" t="s">
        <v>27</v>
      </c>
      <c r="B17" s="1" t="s">
        <v>502</v>
      </c>
      <c r="D17" s="88">
        <v>0</v>
      </c>
      <c r="E17" s="88">
        <v>0</v>
      </c>
      <c r="F17" s="88">
        <v>0</v>
      </c>
      <c r="G17" s="1">
        <f t="shared" si="0"/>
        <v>0</v>
      </c>
      <c r="I17" s="6">
        <f t="shared" si="3"/>
        <v>0</v>
      </c>
      <c r="J17" s="7">
        <f>IFR!AD17</f>
        <v>0</v>
      </c>
      <c r="K17" s="8">
        <f t="shared" si="1"/>
        <v>0.95</v>
      </c>
      <c r="L17" s="6">
        <f t="shared" si="6"/>
        <v>0</v>
      </c>
      <c r="M17" s="8">
        <v>1</v>
      </c>
      <c r="N17" s="8">
        <v>1</v>
      </c>
      <c r="P17" s="6">
        <f t="shared" si="7"/>
        <v>0</v>
      </c>
      <c r="R17" s="9">
        <f t="shared" si="2"/>
        <v>0</v>
      </c>
      <c r="T17" s="10">
        <f>+R17*([1]assessment!$J$272*[1]assessment!$E$3)</f>
        <v>0</v>
      </c>
      <c r="V17" s="7">
        <f>+T17/[1]payroll!$F17</f>
        <v>0</v>
      </c>
      <c r="X17" s="10">
        <f>IF(V17&lt;$X$2,T17,[1]payroll!$F17*$X$2)</f>
        <v>0</v>
      </c>
      <c r="Z17" s="10">
        <f t="shared" si="4"/>
        <v>0</v>
      </c>
      <c r="AB17" s="1" t="e">
        <f t="shared" si="5"/>
        <v>#DIV/0!</v>
      </c>
    </row>
    <row r="18" spans="1:28">
      <c r="A18" s="1" t="s">
        <v>28</v>
      </c>
      <c r="B18" s="1" t="s">
        <v>503</v>
      </c>
      <c r="D18" s="88">
        <v>0</v>
      </c>
      <c r="E18" s="88">
        <v>1</v>
      </c>
      <c r="F18" s="88">
        <v>0</v>
      </c>
      <c r="G18" s="1">
        <f t="shared" si="0"/>
        <v>1</v>
      </c>
      <c r="I18" s="6">
        <f t="shared" si="3"/>
        <v>0.33333333333333331</v>
      </c>
      <c r="J18" s="7">
        <f>IFR!AD18</f>
        <v>3.3333333333333335E-3</v>
      </c>
      <c r="K18" s="8">
        <f t="shared" si="1"/>
        <v>0.95</v>
      </c>
      <c r="L18" s="6">
        <f t="shared" si="6"/>
        <v>0.31666666666666665</v>
      </c>
      <c r="M18" s="8">
        <v>1</v>
      </c>
      <c r="N18" s="8">
        <v>1</v>
      </c>
      <c r="P18" s="6">
        <f t="shared" si="7"/>
        <v>0.31666666666666665</v>
      </c>
      <c r="R18" s="9">
        <f t="shared" si="2"/>
        <v>5.7253748613856657E-5</v>
      </c>
      <c r="T18" s="10">
        <f>+R18*([1]assessment!$J$272*[1]assessment!$E$3)</f>
        <v>515.51898172701442</v>
      </c>
      <c r="V18" s="7">
        <f>+T18/[1]payroll!$F18</f>
        <v>1.2974635049966976E-4</v>
      </c>
      <c r="X18" s="10">
        <f>IF(V18&lt;$X$2,T18,[1]payroll!$F18*$X$2)</f>
        <v>515.51898172701442</v>
      </c>
      <c r="Z18" s="10">
        <f t="shared" si="4"/>
        <v>0</v>
      </c>
      <c r="AB18" s="1">
        <f t="shared" si="5"/>
        <v>1</v>
      </c>
    </row>
    <row r="19" spans="1:28">
      <c r="A19" s="1" t="s">
        <v>29</v>
      </c>
      <c r="B19" s="1" t="s">
        <v>504</v>
      </c>
      <c r="D19" s="88">
        <v>0</v>
      </c>
      <c r="E19" s="88">
        <v>0</v>
      </c>
      <c r="F19" s="88">
        <v>0</v>
      </c>
      <c r="G19" s="1">
        <f t="shared" si="0"/>
        <v>0</v>
      </c>
      <c r="I19" s="6">
        <f t="shared" si="3"/>
        <v>0</v>
      </c>
      <c r="J19" s="7">
        <f>IFR!AD19</f>
        <v>0</v>
      </c>
      <c r="K19" s="8">
        <f t="shared" si="1"/>
        <v>0.95</v>
      </c>
      <c r="L19" s="6">
        <f t="shared" si="6"/>
        <v>0</v>
      </c>
      <c r="M19" s="8">
        <v>1</v>
      </c>
      <c r="N19" s="8">
        <v>1</v>
      </c>
      <c r="P19" s="6">
        <f t="shared" si="7"/>
        <v>0</v>
      </c>
      <c r="R19" s="9">
        <f t="shared" si="2"/>
        <v>0</v>
      </c>
      <c r="T19" s="10">
        <f>+R19*([1]assessment!$J$272*[1]assessment!$E$3)</f>
        <v>0</v>
      </c>
      <c r="V19" s="7">
        <f>+T19/[1]payroll!$F19</f>
        <v>0</v>
      </c>
      <c r="X19" s="10">
        <f>IF(V19&lt;$X$2,T19,[1]payroll!$F19*$X$2)</f>
        <v>0</v>
      </c>
      <c r="Z19" s="10">
        <f t="shared" si="4"/>
        <v>0</v>
      </c>
      <c r="AB19" s="1" t="e">
        <f t="shared" si="5"/>
        <v>#DIV/0!</v>
      </c>
    </row>
    <row r="20" spans="1:28">
      <c r="A20" s="1" t="s">
        <v>30</v>
      </c>
      <c r="B20" s="1" t="s">
        <v>505</v>
      </c>
      <c r="D20" s="88">
        <v>0</v>
      </c>
      <c r="E20" s="88">
        <v>0</v>
      </c>
      <c r="F20" s="88">
        <v>0</v>
      </c>
      <c r="G20" s="1">
        <f t="shared" si="0"/>
        <v>0</v>
      </c>
      <c r="I20" s="6">
        <f t="shared" si="3"/>
        <v>0</v>
      </c>
      <c r="J20" s="7">
        <f>IFR!AD20</f>
        <v>0</v>
      </c>
      <c r="K20" s="8">
        <f t="shared" si="1"/>
        <v>0.95</v>
      </c>
      <c r="L20" s="6">
        <f t="shared" si="6"/>
        <v>0</v>
      </c>
      <c r="M20" s="8">
        <v>1</v>
      </c>
      <c r="N20" s="8">
        <v>1</v>
      </c>
      <c r="P20" s="6">
        <f t="shared" si="7"/>
        <v>0</v>
      </c>
      <c r="R20" s="9">
        <f t="shared" si="2"/>
        <v>0</v>
      </c>
      <c r="T20" s="10">
        <f>+R20*([1]assessment!$J$272*[1]assessment!$E$3)</f>
        <v>0</v>
      </c>
      <c r="V20" s="7">
        <f>+T20/[1]payroll!$F20</f>
        <v>0</v>
      </c>
      <c r="X20" s="10">
        <f>IF(V20&lt;$X$2,T20,[1]payroll!$F20*$X$2)</f>
        <v>0</v>
      </c>
      <c r="Z20" s="10">
        <f t="shared" si="4"/>
        <v>0</v>
      </c>
      <c r="AB20" s="1" t="e">
        <f t="shared" si="5"/>
        <v>#DIV/0!</v>
      </c>
    </row>
    <row r="21" spans="1:28">
      <c r="A21" s="1" t="s">
        <v>31</v>
      </c>
      <c r="B21" s="1" t="s">
        <v>506</v>
      </c>
      <c r="D21" s="88">
        <v>0</v>
      </c>
      <c r="E21" s="88">
        <v>0</v>
      </c>
      <c r="F21" s="88">
        <v>0</v>
      </c>
      <c r="G21" s="1">
        <f t="shared" si="0"/>
        <v>0</v>
      </c>
      <c r="I21" s="6">
        <f t="shared" si="3"/>
        <v>0</v>
      </c>
      <c r="J21" s="7">
        <f>IFR!AD21</f>
        <v>0</v>
      </c>
      <c r="K21" s="8">
        <f t="shared" si="1"/>
        <v>0.95</v>
      </c>
      <c r="L21" s="6">
        <f t="shared" si="6"/>
        <v>0</v>
      </c>
      <c r="M21" s="8">
        <v>1</v>
      </c>
      <c r="N21" s="8">
        <v>1</v>
      </c>
      <c r="P21" s="6">
        <f t="shared" si="7"/>
        <v>0</v>
      </c>
      <c r="R21" s="9">
        <f t="shared" si="2"/>
        <v>0</v>
      </c>
      <c r="T21" s="10">
        <f>+R21*([1]assessment!$J$272*[1]assessment!$E$3)</f>
        <v>0</v>
      </c>
      <c r="V21" s="7">
        <f>+T21/[1]payroll!$F21</f>
        <v>0</v>
      </c>
      <c r="X21" s="10">
        <f>IF(V21&lt;$X$2,T21,[1]payroll!$F21*$X$2)</f>
        <v>0</v>
      </c>
      <c r="Z21" s="10">
        <f t="shared" si="4"/>
        <v>0</v>
      </c>
      <c r="AB21" s="1" t="e">
        <f t="shared" si="5"/>
        <v>#DIV/0!</v>
      </c>
    </row>
    <row r="22" spans="1:28">
      <c r="A22" s="1" t="s">
        <v>32</v>
      </c>
      <c r="B22" s="1" t="s">
        <v>507</v>
      </c>
      <c r="D22" s="88">
        <v>0</v>
      </c>
      <c r="E22" s="88">
        <v>0</v>
      </c>
      <c r="F22" s="88">
        <v>0</v>
      </c>
      <c r="G22" s="1">
        <f t="shared" si="0"/>
        <v>0</v>
      </c>
      <c r="I22" s="6">
        <f t="shared" si="3"/>
        <v>0</v>
      </c>
      <c r="J22" s="7">
        <f>IFR!AD22</f>
        <v>0</v>
      </c>
      <c r="K22" s="8">
        <f t="shared" si="1"/>
        <v>0.95</v>
      </c>
      <c r="L22" s="6">
        <f t="shared" si="6"/>
        <v>0</v>
      </c>
      <c r="M22" s="8">
        <v>1</v>
      </c>
      <c r="N22" s="8">
        <v>1</v>
      </c>
      <c r="P22" s="6">
        <f t="shared" si="7"/>
        <v>0</v>
      </c>
      <c r="R22" s="9">
        <f t="shared" si="2"/>
        <v>0</v>
      </c>
      <c r="T22" s="10">
        <f>+R22*([1]assessment!$J$272*[1]assessment!$E$3)</f>
        <v>0</v>
      </c>
      <c r="V22" s="7">
        <f>+T22/[1]payroll!$F22</f>
        <v>0</v>
      </c>
      <c r="X22" s="10">
        <f>IF(V22&lt;$X$2,T22,[1]payroll!$F22*$X$2)</f>
        <v>0</v>
      </c>
      <c r="Z22" s="10">
        <f t="shared" si="4"/>
        <v>0</v>
      </c>
      <c r="AB22" s="1" t="e">
        <f t="shared" si="5"/>
        <v>#DIV/0!</v>
      </c>
    </row>
    <row r="23" spans="1:28">
      <c r="A23" s="1" t="s">
        <v>33</v>
      </c>
      <c r="B23" s="1" t="s">
        <v>508</v>
      </c>
      <c r="D23" s="88">
        <v>0</v>
      </c>
      <c r="E23" s="88">
        <v>0</v>
      </c>
      <c r="F23" s="88">
        <v>0</v>
      </c>
      <c r="G23" s="1">
        <f t="shared" si="0"/>
        <v>0</v>
      </c>
      <c r="I23" s="6">
        <f t="shared" si="3"/>
        <v>0</v>
      </c>
      <c r="J23" s="7">
        <f>IFR!AD23</f>
        <v>0</v>
      </c>
      <c r="K23" s="8">
        <f t="shared" si="1"/>
        <v>0.95</v>
      </c>
      <c r="L23" s="6">
        <f t="shared" si="6"/>
        <v>0</v>
      </c>
      <c r="M23" s="8">
        <v>1</v>
      </c>
      <c r="N23" s="8">
        <v>1</v>
      </c>
      <c r="P23" s="6">
        <f t="shared" si="7"/>
        <v>0</v>
      </c>
      <c r="R23" s="9">
        <f t="shared" si="2"/>
        <v>0</v>
      </c>
      <c r="T23" s="10">
        <f>+R23*([1]assessment!$J$272*[1]assessment!$E$3)</f>
        <v>0</v>
      </c>
      <c r="V23" s="7">
        <f>+T23/[1]payroll!$F23</f>
        <v>0</v>
      </c>
      <c r="X23" s="10">
        <f>IF(V23&lt;$X$2,T23,[1]payroll!$F23*$X$2)</f>
        <v>0</v>
      </c>
      <c r="Z23" s="10">
        <f t="shared" si="4"/>
        <v>0</v>
      </c>
      <c r="AB23" s="1" t="e">
        <f t="shared" si="5"/>
        <v>#DIV/0!</v>
      </c>
    </row>
    <row r="24" spans="1:28">
      <c r="A24" s="1" t="s">
        <v>34</v>
      </c>
      <c r="B24" s="1" t="s">
        <v>509</v>
      </c>
      <c r="D24" s="88">
        <v>0</v>
      </c>
      <c r="E24" s="88">
        <v>0</v>
      </c>
      <c r="F24" s="88">
        <v>0</v>
      </c>
      <c r="G24" s="1">
        <f t="shared" si="0"/>
        <v>0</v>
      </c>
      <c r="I24" s="6">
        <f t="shared" si="3"/>
        <v>0</v>
      </c>
      <c r="J24" s="7">
        <f>IFR!AD24</f>
        <v>0</v>
      </c>
      <c r="K24" s="8">
        <f t="shared" si="1"/>
        <v>0.95</v>
      </c>
      <c r="L24" s="6">
        <f t="shared" si="6"/>
        <v>0</v>
      </c>
      <c r="M24" s="8">
        <v>1</v>
      </c>
      <c r="N24" s="8">
        <v>1</v>
      </c>
      <c r="P24" s="6">
        <f t="shared" si="7"/>
        <v>0</v>
      </c>
      <c r="R24" s="9">
        <f t="shared" si="2"/>
        <v>0</v>
      </c>
      <c r="T24" s="10">
        <f>+R24*([1]assessment!$J$272*[1]assessment!$E$3)</f>
        <v>0</v>
      </c>
      <c r="V24" s="7">
        <f>+T24/[1]payroll!$F24</f>
        <v>0</v>
      </c>
      <c r="X24" s="10">
        <f>IF(V24&lt;$X$2,T24,[1]payroll!$F24*$X$2)</f>
        <v>0</v>
      </c>
      <c r="Z24" s="10">
        <f t="shared" si="4"/>
        <v>0</v>
      </c>
      <c r="AB24" s="1" t="e">
        <f t="shared" si="5"/>
        <v>#DIV/0!</v>
      </c>
    </row>
    <row r="25" spans="1:28">
      <c r="A25" s="1" t="s">
        <v>35</v>
      </c>
      <c r="B25" s="1" t="s">
        <v>510</v>
      </c>
      <c r="D25" s="88">
        <v>0</v>
      </c>
      <c r="E25" s="88">
        <v>1</v>
      </c>
      <c r="F25" s="88">
        <v>0</v>
      </c>
      <c r="G25" s="1">
        <f t="shared" si="0"/>
        <v>1</v>
      </c>
      <c r="I25" s="6">
        <f t="shared" si="3"/>
        <v>0.33333333333333331</v>
      </c>
      <c r="J25" s="7">
        <f>IFR!AD25</f>
        <v>3.3333333333333335E-3</v>
      </c>
      <c r="K25" s="8">
        <f t="shared" si="1"/>
        <v>0.95</v>
      </c>
      <c r="L25" s="6">
        <f t="shared" si="6"/>
        <v>0.31666666666666665</v>
      </c>
      <c r="M25" s="8">
        <v>1</v>
      </c>
      <c r="N25" s="8">
        <v>1</v>
      </c>
      <c r="P25" s="6">
        <f t="shared" si="7"/>
        <v>0.31666666666666665</v>
      </c>
      <c r="R25" s="9">
        <f t="shared" si="2"/>
        <v>5.7253748613856657E-5</v>
      </c>
      <c r="T25" s="10">
        <f>+R25*([1]assessment!$J$272*[1]assessment!$E$3)</f>
        <v>515.51898172701442</v>
      </c>
      <c r="V25" s="7">
        <f>+T25/[1]payroll!$F25</f>
        <v>2.690205762837118E-4</v>
      </c>
      <c r="X25" s="10">
        <f>IF(V25&lt;$X$2,T25,[1]payroll!$F25*$X$2)</f>
        <v>515.51898172701442</v>
      </c>
      <c r="Z25" s="10">
        <f t="shared" si="4"/>
        <v>0</v>
      </c>
      <c r="AB25" s="1">
        <f t="shared" si="5"/>
        <v>1</v>
      </c>
    </row>
    <row r="26" spans="1:28">
      <c r="A26" s="1" t="s">
        <v>36</v>
      </c>
      <c r="B26" s="1" t="s">
        <v>511</v>
      </c>
      <c r="D26" s="88">
        <v>0</v>
      </c>
      <c r="E26" s="88">
        <v>0</v>
      </c>
      <c r="F26" s="88">
        <v>0</v>
      </c>
      <c r="G26" s="1">
        <f t="shared" si="0"/>
        <v>0</v>
      </c>
      <c r="I26" s="6">
        <f t="shared" si="3"/>
        <v>0</v>
      </c>
      <c r="J26" s="7">
        <f>IFR!AD26</f>
        <v>0</v>
      </c>
      <c r="K26" s="8">
        <f t="shared" si="1"/>
        <v>0.95</v>
      </c>
      <c r="L26" s="6">
        <f t="shared" si="6"/>
        <v>0</v>
      </c>
      <c r="M26" s="8">
        <v>1</v>
      </c>
      <c r="N26" s="8">
        <v>1</v>
      </c>
      <c r="P26" s="6">
        <f t="shared" si="7"/>
        <v>0</v>
      </c>
      <c r="R26" s="9">
        <f t="shared" si="2"/>
        <v>0</v>
      </c>
      <c r="T26" s="10">
        <f>+R26*([1]assessment!$J$272*[1]assessment!$E$3)</f>
        <v>0</v>
      </c>
      <c r="V26" s="7">
        <f>+T26/[1]payroll!$F26</f>
        <v>0</v>
      </c>
      <c r="X26" s="10">
        <f>IF(V26&lt;$X$2,T26,[1]payroll!$F26*$X$2)</f>
        <v>0</v>
      </c>
      <c r="Z26" s="10">
        <f t="shared" si="4"/>
        <v>0</v>
      </c>
      <c r="AB26" s="1" t="e">
        <f t="shared" si="5"/>
        <v>#DIV/0!</v>
      </c>
    </row>
    <row r="27" spans="1:28">
      <c r="A27" s="1" t="s">
        <v>37</v>
      </c>
      <c r="B27" s="1" t="s">
        <v>512</v>
      </c>
      <c r="D27" s="88">
        <v>0</v>
      </c>
      <c r="E27" s="88">
        <v>0</v>
      </c>
      <c r="F27" s="88">
        <v>0</v>
      </c>
      <c r="G27" s="1">
        <f t="shared" si="0"/>
        <v>0</v>
      </c>
      <c r="I27" s="6">
        <f t="shared" si="3"/>
        <v>0</v>
      </c>
      <c r="J27" s="7">
        <f>IFR!AD27</f>
        <v>0</v>
      </c>
      <c r="K27" s="8">
        <f t="shared" si="1"/>
        <v>0.95</v>
      </c>
      <c r="L27" s="6">
        <f t="shared" si="6"/>
        <v>0</v>
      </c>
      <c r="M27" s="8">
        <v>1</v>
      </c>
      <c r="N27" s="8">
        <v>1</v>
      </c>
      <c r="P27" s="6">
        <f t="shared" si="7"/>
        <v>0</v>
      </c>
      <c r="R27" s="9">
        <f t="shared" si="2"/>
        <v>0</v>
      </c>
      <c r="T27" s="10">
        <f>+R27*([1]assessment!$J$272*[1]assessment!$E$3)</f>
        <v>0</v>
      </c>
      <c r="V27" s="7">
        <f>+T27/[1]payroll!$F27</f>
        <v>0</v>
      </c>
      <c r="X27" s="10">
        <f>IF(V27&lt;$X$2,T27,[1]payroll!$F27*$X$2)</f>
        <v>0</v>
      </c>
      <c r="Z27" s="10">
        <f t="shared" si="4"/>
        <v>0</v>
      </c>
      <c r="AB27" s="1" t="e">
        <f t="shared" si="5"/>
        <v>#DIV/0!</v>
      </c>
    </row>
    <row r="28" spans="1:28">
      <c r="A28" s="1" t="s">
        <v>38</v>
      </c>
      <c r="B28" s="1" t="s">
        <v>513</v>
      </c>
      <c r="D28" s="88">
        <v>0</v>
      </c>
      <c r="E28" s="88">
        <v>0</v>
      </c>
      <c r="F28" s="88">
        <v>0</v>
      </c>
      <c r="G28" s="1">
        <f t="shared" si="0"/>
        <v>0</v>
      </c>
      <c r="I28" s="6">
        <f t="shared" si="3"/>
        <v>0</v>
      </c>
      <c r="J28" s="7">
        <f>IFR!AD28</f>
        <v>0</v>
      </c>
      <c r="K28" s="8">
        <f t="shared" si="1"/>
        <v>0.95</v>
      </c>
      <c r="L28" s="6">
        <f t="shared" si="6"/>
        <v>0</v>
      </c>
      <c r="M28" s="8">
        <v>1</v>
      </c>
      <c r="N28" s="8">
        <v>1</v>
      </c>
      <c r="P28" s="6">
        <f t="shared" si="7"/>
        <v>0</v>
      </c>
      <c r="R28" s="9">
        <f t="shared" si="2"/>
        <v>0</v>
      </c>
      <c r="T28" s="10">
        <f>+R28*([1]assessment!$J$272*[1]assessment!$E$3)</f>
        <v>0</v>
      </c>
      <c r="V28" s="7">
        <f>+T28/[1]payroll!$F28</f>
        <v>0</v>
      </c>
      <c r="X28" s="10">
        <f>IF(V28&lt;$X$2,T28,[1]payroll!$F28*$X$2)</f>
        <v>0</v>
      </c>
      <c r="Z28" s="10">
        <f t="shared" si="4"/>
        <v>0</v>
      </c>
      <c r="AB28" s="1" t="e">
        <f t="shared" si="5"/>
        <v>#DIV/0!</v>
      </c>
    </row>
    <row r="29" spans="1:28">
      <c r="A29" s="1" t="s">
        <v>39</v>
      </c>
      <c r="B29" s="1" t="s">
        <v>514</v>
      </c>
      <c r="D29" s="88">
        <v>0</v>
      </c>
      <c r="E29" s="88">
        <v>0</v>
      </c>
      <c r="F29" s="88">
        <v>0</v>
      </c>
      <c r="G29" s="1">
        <f t="shared" si="0"/>
        <v>0</v>
      </c>
      <c r="I29" s="6">
        <f t="shared" si="3"/>
        <v>0</v>
      </c>
      <c r="J29" s="7">
        <f>IFR!AD29</f>
        <v>0</v>
      </c>
      <c r="K29" s="8">
        <f t="shared" si="1"/>
        <v>0.95</v>
      </c>
      <c r="L29" s="6">
        <f t="shared" si="6"/>
        <v>0</v>
      </c>
      <c r="M29" s="8">
        <v>1</v>
      </c>
      <c r="N29" s="8">
        <v>1</v>
      </c>
      <c r="P29" s="6">
        <f t="shared" si="7"/>
        <v>0</v>
      </c>
      <c r="R29" s="9">
        <f t="shared" si="2"/>
        <v>0</v>
      </c>
      <c r="T29" s="10">
        <f>+R29*([1]assessment!$J$272*[1]assessment!$E$3)</f>
        <v>0</v>
      </c>
      <c r="V29" s="7">
        <f>+T29/[1]payroll!$F29</f>
        <v>0</v>
      </c>
      <c r="X29" s="10">
        <f>IF(V29&lt;$X$2,T29,[1]payroll!$F29*$X$2)</f>
        <v>0</v>
      </c>
      <c r="Z29" s="10">
        <f t="shared" si="4"/>
        <v>0</v>
      </c>
      <c r="AB29" s="1" t="e">
        <f t="shared" si="5"/>
        <v>#DIV/0!</v>
      </c>
    </row>
    <row r="30" spans="1:28">
      <c r="A30" s="1" t="s">
        <v>40</v>
      </c>
      <c r="B30" s="1" t="s">
        <v>515</v>
      </c>
      <c r="D30" s="88">
        <v>0</v>
      </c>
      <c r="E30" s="88">
        <v>0</v>
      </c>
      <c r="F30" s="88">
        <v>0</v>
      </c>
      <c r="G30" s="1">
        <f t="shared" si="0"/>
        <v>0</v>
      </c>
      <c r="I30" s="6">
        <f t="shared" si="3"/>
        <v>0</v>
      </c>
      <c r="J30" s="7">
        <f>IFR!AD30</f>
        <v>0</v>
      </c>
      <c r="K30" s="8">
        <f t="shared" si="1"/>
        <v>0.95</v>
      </c>
      <c r="L30" s="6">
        <f t="shared" si="6"/>
        <v>0</v>
      </c>
      <c r="M30" s="8">
        <v>1</v>
      </c>
      <c r="N30" s="8">
        <v>1</v>
      </c>
      <c r="P30" s="6">
        <f t="shared" si="7"/>
        <v>0</v>
      </c>
      <c r="R30" s="9">
        <f t="shared" si="2"/>
        <v>0</v>
      </c>
      <c r="T30" s="10">
        <f>+R30*([1]assessment!$J$272*[1]assessment!$E$3)</f>
        <v>0</v>
      </c>
      <c r="V30" s="7">
        <f>+T30/[1]payroll!$F30</f>
        <v>0</v>
      </c>
      <c r="X30" s="10">
        <f>IF(V30&lt;$X$2,T30,[1]payroll!$F30*$X$2)</f>
        <v>0</v>
      </c>
      <c r="Z30" s="10">
        <f t="shared" si="4"/>
        <v>0</v>
      </c>
      <c r="AB30" s="1" t="e">
        <f t="shared" si="5"/>
        <v>#DIV/0!</v>
      </c>
    </row>
    <row r="31" spans="1:28">
      <c r="A31" s="48" t="s">
        <v>587</v>
      </c>
      <c r="B31" s="48" t="s">
        <v>588</v>
      </c>
      <c r="D31" s="88">
        <v>0</v>
      </c>
      <c r="E31" s="88">
        <v>0</v>
      </c>
      <c r="F31" s="88">
        <v>0</v>
      </c>
      <c r="G31" s="1">
        <f t="shared" si="0"/>
        <v>0</v>
      </c>
      <c r="I31" s="6">
        <f t="shared" si="3"/>
        <v>0</v>
      </c>
      <c r="J31" s="7">
        <f>IFR!AD31</f>
        <v>0</v>
      </c>
      <c r="K31" s="8">
        <f t="shared" si="1"/>
        <v>0.95</v>
      </c>
      <c r="L31" s="6">
        <f t="shared" si="6"/>
        <v>0</v>
      </c>
      <c r="M31" s="8">
        <v>1</v>
      </c>
      <c r="N31" s="8"/>
      <c r="P31" s="6">
        <f t="shared" si="7"/>
        <v>0</v>
      </c>
      <c r="R31" s="9">
        <f t="shared" si="2"/>
        <v>0</v>
      </c>
      <c r="T31" s="10">
        <f>+R31*([1]assessment!$J$272*[1]assessment!$E$3)</f>
        <v>0</v>
      </c>
      <c r="V31" s="7">
        <f>+T31/[1]payroll!$F31</f>
        <v>0</v>
      </c>
      <c r="X31" s="10">
        <f>IF(V31&lt;$X$2,T31,[1]payroll!$F31*$X$2)</f>
        <v>0</v>
      </c>
      <c r="Z31" s="10">
        <f>+T31-X31</f>
        <v>0</v>
      </c>
    </row>
    <row r="32" spans="1:28">
      <c r="A32" s="1" t="s">
        <v>41</v>
      </c>
      <c r="B32" s="1" t="s">
        <v>516</v>
      </c>
      <c r="D32" s="88">
        <v>1</v>
      </c>
      <c r="E32" s="88">
        <v>0</v>
      </c>
      <c r="F32" s="88">
        <v>0</v>
      </c>
      <c r="G32" s="1">
        <f t="shared" si="0"/>
        <v>1</v>
      </c>
      <c r="I32" s="6">
        <f t="shared" si="3"/>
        <v>0.33333333333333331</v>
      </c>
      <c r="J32" s="7">
        <f>IFR!AD32</f>
        <v>2.5821778087639115E-4</v>
      </c>
      <c r="K32" s="8">
        <f t="shared" si="1"/>
        <v>0.95</v>
      </c>
      <c r="L32" s="6">
        <f t="shared" si="6"/>
        <v>0.31666666666666665</v>
      </c>
      <c r="M32" s="8">
        <v>1</v>
      </c>
      <c r="N32" s="8">
        <v>1</v>
      </c>
      <c r="P32" s="6">
        <f t="shared" si="7"/>
        <v>0.31666666666666665</v>
      </c>
      <c r="R32" s="9">
        <f t="shared" si="2"/>
        <v>5.7253748613856657E-5</v>
      </c>
      <c r="T32" s="10">
        <f>+R32*([1]assessment!$J$272*[1]assessment!$E$3)</f>
        <v>515.51898172701442</v>
      </c>
      <c r="V32" s="7">
        <f>+T32/[1]payroll!$F32</f>
        <v>4.8417302574985768E-6</v>
      </c>
      <c r="X32" s="10">
        <f>IF(V32&lt;$X$2,T32,[1]payroll!$F32*$X$2)</f>
        <v>515.51898172701442</v>
      </c>
      <c r="Z32" s="10">
        <f t="shared" si="4"/>
        <v>0</v>
      </c>
      <c r="AB32" s="1">
        <f t="shared" si="5"/>
        <v>1</v>
      </c>
    </row>
    <row r="33" spans="1:28">
      <c r="A33" s="1" t="s">
        <v>42</v>
      </c>
      <c r="B33" s="1" t="s">
        <v>43</v>
      </c>
      <c r="D33" s="88">
        <v>0</v>
      </c>
      <c r="E33" s="88">
        <v>0</v>
      </c>
      <c r="F33" s="88">
        <v>0</v>
      </c>
      <c r="G33" s="1">
        <f t="shared" si="0"/>
        <v>0</v>
      </c>
      <c r="I33" s="6">
        <f t="shared" si="3"/>
        <v>0</v>
      </c>
      <c r="J33" s="7">
        <f>IFR!AD33</f>
        <v>0</v>
      </c>
      <c r="K33" s="8">
        <f t="shared" si="1"/>
        <v>0.95</v>
      </c>
      <c r="L33" s="6">
        <f t="shared" si="6"/>
        <v>0</v>
      </c>
      <c r="M33" s="8">
        <v>1</v>
      </c>
      <c r="N33" s="8">
        <v>1</v>
      </c>
      <c r="P33" s="6">
        <f t="shared" si="7"/>
        <v>0</v>
      </c>
      <c r="R33" s="9">
        <f t="shared" si="2"/>
        <v>0</v>
      </c>
      <c r="T33" s="10">
        <f>+R33*([1]assessment!$J$272*[1]assessment!$E$3)</f>
        <v>0</v>
      </c>
      <c r="V33" s="7">
        <f>+T33/[1]payroll!$F33</f>
        <v>0</v>
      </c>
      <c r="X33" s="10">
        <f>IF(V33&lt;$X$2,T33,[1]payroll!$F33*$X$2)</f>
        <v>0</v>
      </c>
      <c r="Z33" s="10">
        <f t="shared" si="4"/>
        <v>0</v>
      </c>
      <c r="AB33" s="1" t="e">
        <f t="shared" si="5"/>
        <v>#DIV/0!</v>
      </c>
    </row>
    <row r="34" spans="1:28">
      <c r="A34" s="1" t="s">
        <v>44</v>
      </c>
      <c r="B34" s="1" t="s">
        <v>45</v>
      </c>
      <c r="D34" s="88">
        <v>0</v>
      </c>
      <c r="E34" s="88">
        <v>0</v>
      </c>
      <c r="F34" s="88">
        <v>0</v>
      </c>
      <c r="G34" s="1">
        <f t="shared" si="0"/>
        <v>0</v>
      </c>
      <c r="I34" s="6">
        <f t="shared" si="3"/>
        <v>0</v>
      </c>
      <c r="J34" s="7">
        <f>IFR!AD34</f>
        <v>0</v>
      </c>
      <c r="K34" s="8">
        <f t="shared" si="1"/>
        <v>0.95</v>
      </c>
      <c r="L34" s="6">
        <f t="shared" si="6"/>
        <v>0</v>
      </c>
      <c r="M34" s="8">
        <v>1</v>
      </c>
      <c r="N34" s="8">
        <v>1</v>
      </c>
      <c r="P34" s="6">
        <f t="shared" si="7"/>
        <v>0</v>
      </c>
      <c r="R34" s="9">
        <f t="shared" si="2"/>
        <v>0</v>
      </c>
      <c r="T34" s="10">
        <f>+R34*([1]assessment!$J$272*[1]assessment!$E$3)</f>
        <v>0</v>
      </c>
      <c r="V34" s="7">
        <f>+T34/[1]payroll!$F34</f>
        <v>0</v>
      </c>
      <c r="X34" s="10">
        <f>IF(V34&lt;$X$2,T34,[1]payroll!$F34*$X$2)</f>
        <v>0</v>
      </c>
      <c r="Z34" s="10">
        <f t="shared" si="4"/>
        <v>0</v>
      </c>
      <c r="AB34" s="1" t="e">
        <f t="shared" si="5"/>
        <v>#DIV/0!</v>
      </c>
    </row>
    <row r="35" spans="1:28">
      <c r="A35" s="1" t="s">
        <v>46</v>
      </c>
      <c r="B35" s="1" t="s">
        <v>47</v>
      </c>
      <c r="D35" s="88">
        <v>1</v>
      </c>
      <c r="E35" s="88">
        <v>0</v>
      </c>
      <c r="F35" s="88">
        <v>0</v>
      </c>
      <c r="G35" s="1">
        <f t="shared" si="0"/>
        <v>1</v>
      </c>
      <c r="I35" s="6">
        <f t="shared" si="3"/>
        <v>0.33333333333333331</v>
      </c>
      <c r="J35" s="7">
        <f>IFR!AD35</f>
        <v>6.5327453862485708E-4</v>
      </c>
      <c r="K35" s="8">
        <f t="shared" si="1"/>
        <v>0.95</v>
      </c>
      <c r="L35" s="6">
        <f t="shared" si="6"/>
        <v>0.31666666666666665</v>
      </c>
      <c r="M35" s="8">
        <v>1</v>
      </c>
      <c r="N35" s="8">
        <v>1</v>
      </c>
      <c r="P35" s="6">
        <f t="shared" si="7"/>
        <v>0.31666666666666665</v>
      </c>
      <c r="R35" s="9">
        <f t="shared" si="2"/>
        <v>5.7253748613856657E-5</v>
      </c>
      <c r="T35" s="10">
        <f>+R35*([1]assessment!$J$272*[1]assessment!$E$3)</f>
        <v>515.51898172701442</v>
      </c>
      <c r="V35" s="7">
        <f>+T35/[1]payroll!$F35</f>
        <v>2.0405113906207449E-5</v>
      </c>
      <c r="X35" s="10">
        <f>IF(V35&lt;$X$2,T35,[1]payroll!$F35*$X$2)</f>
        <v>515.51898172701442</v>
      </c>
      <c r="Z35" s="10">
        <f t="shared" si="4"/>
        <v>0</v>
      </c>
      <c r="AB35" s="1">
        <f t="shared" si="5"/>
        <v>1</v>
      </c>
    </row>
    <row r="36" spans="1:28">
      <c r="A36" s="1" t="s">
        <v>48</v>
      </c>
      <c r="B36" s="1" t="s">
        <v>49</v>
      </c>
      <c r="D36" s="88">
        <f>11+1</f>
        <v>12</v>
      </c>
      <c r="E36" s="88">
        <v>8</v>
      </c>
      <c r="F36" s="88">
        <v>16</v>
      </c>
      <c r="G36" s="1">
        <f t="shared" si="0"/>
        <v>36</v>
      </c>
      <c r="I36" s="6">
        <f t="shared" si="3"/>
        <v>12</v>
      </c>
      <c r="J36" s="7">
        <f>IFR!AD36</f>
        <v>3.1097901726166812E-3</v>
      </c>
      <c r="K36" s="8">
        <f t="shared" si="1"/>
        <v>0.95</v>
      </c>
      <c r="L36" s="6">
        <f t="shared" si="6"/>
        <v>11.399999999999999</v>
      </c>
      <c r="M36" s="8">
        <v>1</v>
      </c>
      <c r="N36" s="8">
        <v>1</v>
      </c>
      <c r="P36" s="6">
        <f t="shared" si="7"/>
        <v>11.399999999999999</v>
      </c>
      <c r="R36" s="9">
        <f t="shared" si="2"/>
        <v>2.0611349500988395E-3</v>
      </c>
      <c r="T36" s="10">
        <f>+R36*([1]assessment!$J$272*[1]assessment!$E$3)</f>
        <v>18558.68334217252</v>
      </c>
      <c r="V36" s="7">
        <f>+T36/[1]payroll!$F36</f>
        <v>6.8958177861374228E-5</v>
      </c>
      <c r="X36" s="10">
        <f>IF(V36&lt;$X$2,T36,[1]payroll!$F36*$X$2)</f>
        <v>18558.68334217252</v>
      </c>
      <c r="Z36" s="10">
        <f t="shared" si="4"/>
        <v>0</v>
      </c>
      <c r="AB36" s="1">
        <f t="shared" si="5"/>
        <v>1</v>
      </c>
    </row>
    <row r="37" spans="1:28">
      <c r="A37" s="1" t="s">
        <v>50</v>
      </c>
      <c r="B37" s="1" t="s">
        <v>485</v>
      </c>
      <c r="D37" s="88">
        <v>9</v>
      </c>
      <c r="E37" s="88">
        <v>14</v>
      </c>
      <c r="F37" s="88">
        <v>5</v>
      </c>
      <c r="G37" s="1">
        <f t="shared" si="0"/>
        <v>28</v>
      </c>
      <c r="I37" s="6">
        <f t="shared" si="3"/>
        <v>9.3333333333333339</v>
      </c>
      <c r="J37" s="7">
        <f>IFR!AD37</f>
        <v>2.202515751393613E-2</v>
      </c>
      <c r="K37" s="8">
        <f t="shared" si="1"/>
        <v>0.95</v>
      </c>
      <c r="L37" s="6">
        <f t="shared" si="6"/>
        <v>8.8666666666666671</v>
      </c>
      <c r="M37" s="8">
        <v>1</v>
      </c>
      <c r="N37" s="8">
        <v>1</v>
      </c>
      <c r="P37" s="6">
        <f t="shared" si="7"/>
        <v>8.8666666666666671</v>
      </c>
      <c r="R37" s="9">
        <f t="shared" si="2"/>
        <v>1.6031049611879866E-3</v>
      </c>
      <c r="T37" s="10">
        <f>+R37*([1]assessment!$J$272*[1]assessment!$E$3)</f>
        <v>14434.531488356406</v>
      </c>
      <c r="V37" s="7">
        <f>+T37/[1]payroll!$F37</f>
        <v>5.5903936108913917E-4</v>
      </c>
      <c r="X37" s="10">
        <f>IF(V37&lt;$X$2,T37,[1]payroll!$F37*$X$2)</f>
        <v>14434.531488356406</v>
      </c>
      <c r="Z37" s="10">
        <f t="shared" si="4"/>
        <v>0</v>
      </c>
      <c r="AB37" s="1">
        <f t="shared" si="5"/>
        <v>1</v>
      </c>
    </row>
    <row r="38" spans="1:28">
      <c r="A38" s="1" t="s">
        <v>51</v>
      </c>
      <c r="B38" s="1" t="s">
        <v>52</v>
      </c>
      <c r="D38" s="88">
        <f>9+2</f>
        <v>11</v>
      </c>
      <c r="E38" s="88">
        <v>7</v>
      </c>
      <c r="F38" s="88">
        <v>6</v>
      </c>
      <c r="G38" s="1">
        <f t="shared" si="0"/>
        <v>24</v>
      </c>
      <c r="I38" s="6">
        <f t="shared" si="3"/>
        <v>8</v>
      </c>
      <c r="J38" s="7">
        <f>IFR!AD38</f>
        <v>2.7482431635081558E-3</v>
      </c>
      <c r="K38" s="8">
        <f t="shared" si="1"/>
        <v>0.95</v>
      </c>
      <c r="L38" s="6">
        <f t="shared" si="6"/>
        <v>7.6</v>
      </c>
      <c r="M38" s="8">
        <v>1</v>
      </c>
      <c r="N38" s="8">
        <v>1</v>
      </c>
      <c r="P38" s="6">
        <f t="shared" si="7"/>
        <v>7.6</v>
      </c>
      <c r="R38" s="9">
        <f t="shared" si="2"/>
        <v>1.3740899667325597E-3</v>
      </c>
      <c r="T38" s="10">
        <f>+R38*([1]assessment!$J$272*[1]assessment!$E$3)</f>
        <v>12372.455561448347</v>
      </c>
      <c r="V38" s="7">
        <f>+T38/[1]payroll!$F38</f>
        <v>6.0453357593205683E-5</v>
      </c>
      <c r="X38" s="10">
        <f>IF(V38&lt;$X$2,T38,[1]payroll!$F38*$X$2)</f>
        <v>12372.455561448347</v>
      </c>
      <c r="Z38" s="10">
        <f t="shared" si="4"/>
        <v>0</v>
      </c>
      <c r="AB38" s="1">
        <f t="shared" si="5"/>
        <v>1</v>
      </c>
    </row>
    <row r="39" spans="1:28">
      <c r="A39" s="1" t="s">
        <v>53</v>
      </c>
      <c r="B39" s="1" t="s">
        <v>54</v>
      </c>
      <c r="D39" s="88">
        <v>2</v>
      </c>
      <c r="E39" s="88">
        <v>4</v>
      </c>
      <c r="F39" s="88">
        <v>6</v>
      </c>
      <c r="G39" s="1">
        <f t="shared" si="0"/>
        <v>12</v>
      </c>
      <c r="I39" s="6">
        <f t="shared" si="3"/>
        <v>4</v>
      </c>
      <c r="J39" s="7">
        <f>IFR!AD39</f>
        <v>6.1131693855482937E-3</v>
      </c>
      <c r="K39" s="8">
        <f t="shared" si="1"/>
        <v>0.95</v>
      </c>
      <c r="L39" s="6">
        <f t="shared" si="6"/>
        <v>3.8</v>
      </c>
      <c r="M39" s="8">
        <v>1</v>
      </c>
      <c r="N39" s="8">
        <v>1</v>
      </c>
      <c r="P39" s="6">
        <f t="shared" si="7"/>
        <v>3.8</v>
      </c>
      <c r="R39" s="9">
        <f t="shared" si="2"/>
        <v>6.8704498336627983E-4</v>
      </c>
      <c r="T39" s="10">
        <f>+R39*([1]assessment!$J$272*[1]assessment!$E$3)</f>
        <v>6186.2277807241735</v>
      </c>
      <c r="V39" s="7">
        <f>+T39/[1]payroll!$F39</f>
        <v>8.9853637731313472E-5</v>
      </c>
      <c r="X39" s="10">
        <f>IF(V39&lt;$X$2,T39,[1]payroll!$F39*$X$2)</f>
        <v>6186.2277807241735</v>
      </c>
      <c r="Z39" s="10">
        <f t="shared" si="4"/>
        <v>0</v>
      </c>
      <c r="AB39" s="1">
        <f t="shared" si="5"/>
        <v>1</v>
      </c>
    </row>
    <row r="40" spans="1:28">
      <c r="A40" s="1" t="s">
        <v>55</v>
      </c>
      <c r="B40" s="1" t="s">
        <v>56</v>
      </c>
      <c r="D40" s="88">
        <v>0</v>
      </c>
      <c r="E40" s="88">
        <v>1</v>
      </c>
      <c r="F40" s="88">
        <v>2</v>
      </c>
      <c r="G40" s="1">
        <f t="shared" si="0"/>
        <v>3</v>
      </c>
      <c r="I40" s="6">
        <f t="shared" si="3"/>
        <v>1</v>
      </c>
      <c r="J40" s="7">
        <f>IFR!AD40</f>
        <v>8.5377697427735568E-3</v>
      </c>
      <c r="K40" s="8">
        <f t="shared" si="1"/>
        <v>0.95</v>
      </c>
      <c r="L40" s="6">
        <f t="shared" si="6"/>
        <v>0.95</v>
      </c>
      <c r="M40" s="8">
        <v>1</v>
      </c>
      <c r="N40" s="8">
        <v>1</v>
      </c>
      <c r="P40" s="6">
        <f t="shared" si="7"/>
        <v>0.95</v>
      </c>
      <c r="R40" s="9">
        <f t="shared" si="2"/>
        <v>1.7176124584156996E-4</v>
      </c>
      <c r="T40" s="10">
        <f>+R40*([1]assessment!$J$272*[1]assessment!$E$3)</f>
        <v>1546.5569451810434</v>
      </c>
      <c r="V40" s="7">
        <f>+T40/[1]payroll!$F40</f>
        <v>1.7257779177049908E-4</v>
      </c>
      <c r="X40" s="10">
        <f>IF(V40&lt;$X$2,T40,[1]payroll!$F40*$X$2)</f>
        <v>1546.5569451810434</v>
      </c>
      <c r="Z40" s="10">
        <f t="shared" si="4"/>
        <v>0</v>
      </c>
      <c r="AB40" s="1">
        <f t="shared" si="5"/>
        <v>1</v>
      </c>
    </row>
    <row r="41" spans="1:28">
      <c r="A41" s="1" t="s">
        <v>57</v>
      </c>
      <c r="B41" s="1" t="s">
        <v>58</v>
      </c>
      <c r="D41" s="88">
        <v>1</v>
      </c>
      <c r="E41" s="88">
        <v>0</v>
      </c>
      <c r="F41" s="88">
        <v>0</v>
      </c>
      <c r="G41" s="1">
        <f t="shared" si="0"/>
        <v>1</v>
      </c>
      <c r="I41" s="6">
        <f t="shared" si="3"/>
        <v>0.33333333333333331</v>
      </c>
      <c r="J41" s="7">
        <f>IFR!AD41</f>
        <v>9.1852668320014698E-4</v>
      </c>
      <c r="K41" s="8">
        <f t="shared" si="1"/>
        <v>0.95</v>
      </c>
      <c r="L41" s="6">
        <f t="shared" si="6"/>
        <v>0.31666666666666665</v>
      </c>
      <c r="M41" s="8">
        <v>1</v>
      </c>
      <c r="N41" s="8">
        <v>1</v>
      </c>
      <c r="P41" s="6">
        <f t="shared" si="7"/>
        <v>0.31666666666666665</v>
      </c>
      <c r="R41" s="9">
        <f t="shared" si="2"/>
        <v>5.7253748613856657E-5</v>
      </c>
      <c r="T41" s="10">
        <f>+R41*([1]assessment!$J$272*[1]assessment!$E$3)</f>
        <v>515.51898172701442</v>
      </c>
      <c r="V41" s="7">
        <f>+T41/[1]payroll!$F41</f>
        <v>3.5525469284521808E-5</v>
      </c>
      <c r="X41" s="10">
        <f>IF(V41&lt;$X$2,T41,[1]payroll!$F41*$X$2)</f>
        <v>515.51898172701442</v>
      </c>
      <c r="Z41" s="10">
        <f t="shared" si="4"/>
        <v>0</v>
      </c>
      <c r="AB41" s="1">
        <f t="shared" si="5"/>
        <v>1</v>
      </c>
    </row>
    <row r="42" spans="1:28">
      <c r="A42" s="1" t="s">
        <v>59</v>
      </c>
      <c r="B42" s="1" t="s">
        <v>60</v>
      </c>
      <c r="D42" s="88">
        <v>0</v>
      </c>
      <c r="E42" s="88">
        <v>1</v>
      </c>
      <c r="F42" s="88">
        <v>0</v>
      </c>
      <c r="G42" s="1">
        <f t="shared" si="0"/>
        <v>1</v>
      </c>
      <c r="I42" s="6">
        <f t="shared" si="3"/>
        <v>0.33333333333333331</v>
      </c>
      <c r="J42" s="7">
        <f>IFR!AD42</f>
        <v>1.9063959584405682E-3</v>
      </c>
      <c r="K42" s="8">
        <f t="shared" si="1"/>
        <v>0.95</v>
      </c>
      <c r="L42" s="6">
        <f t="shared" si="6"/>
        <v>0.31666666666666665</v>
      </c>
      <c r="M42" s="8">
        <v>1</v>
      </c>
      <c r="N42" s="8">
        <v>1</v>
      </c>
      <c r="P42" s="6">
        <f t="shared" si="7"/>
        <v>0.31666666666666665</v>
      </c>
      <c r="R42" s="9">
        <f t="shared" si="2"/>
        <v>5.7253748613856657E-5</v>
      </c>
      <c r="T42" s="10">
        <f>+R42*([1]assessment!$J$272*[1]assessment!$E$3)</f>
        <v>515.51898172701442</v>
      </c>
      <c r="V42" s="7">
        <f>+T42/[1]payroll!$F42</f>
        <v>3.0455980832344467E-5</v>
      </c>
      <c r="X42" s="10">
        <f>IF(V42&lt;$X$2,T42,[1]payroll!$F42*$X$2)</f>
        <v>515.51898172701442</v>
      </c>
      <c r="Z42" s="10">
        <f t="shared" si="4"/>
        <v>0</v>
      </c>
      <c r="AB42" s="1">
        <f t="shared" si="5"/>
        <v>1</v>
      </c>
    </row>
    <row r="43" spans="1:28">
      <c r="A43" s="1" t="s">
        <v>61</v>
      </c>
      <c r="B43" s="1" t="s">
        <v>517</v>
      </c>
      <c r="D43" s="88">
        <v>0</v>
      </c>
      <c r="E43" s="88">
        <v>0</v>
      </c>
      <c r="F43" s="88">
        <v>0</v>
      </c>
      <c r="G43" s="1">
        <f t="shared" si="0"/>
        <v>0</v>
      </c>
      <c r="I43" s="6">
        <f t="shared" si="3"/>
        <v>0</v>
      </c>
      <c r="J43" s="7">
        <f>IFR!AD43</f>
        <v>0</v>
      </c>
      <c r="K43" s="8">
        <f t="shared" si="1"/>
        <v>0.95</v>
      </c>
      <c r="L43" s="6">
        <f t="shared" si="6"/>
        <v>0</v>
      </c>
      <c r="M43" s="8">
        <v>1</v>
      </c>
      <c r="N43" s="8">
        <v>1</v>
      </c>
      <c r="P43" s="6">
        <f t="shared" si="7"/>
        <v>0</v>
      </c>
      <c r="R43" s="9">
        <f t="shared" si="2"/>
        <v>0</v>
      </c>
      <c r="T43" s="10">
        <f>+R43*([1]assessment!$J$272*[1]assessment!$E$3)</f>
        <v>0</v>
      </c>
      <c r="V43" s="7">
        <f>+T43/[1]payroll!$F43</f>
        <v>0</v>
      </c>
      <c r="X43" s="10">
        <f>IF(V43&lt;$X$2,T43,[1]payroll!$F43*$X$2)</f>
        <v>0</v>
      </c>
      <c r="Z43" s="10">
        <f t="shared" si="4"/>
        <v>0</v>
      </c>
      <c r="AB43" s="1" t="e">
        <f t="shared" si="5"/>
        <v>#DIV/0!</v>
      </c>
    </row>
    <row r="44" spans="1:28">
      <c r="A44" s="1" t="s">
        <v>62</v>
      </c>
      <c r="B44" s="1" t="s">
        <v>63</v>
      </c>
      <c r="D44" s="88">
        <v>0</v>
      </c>
      <c r="E44" s="88">
        <v>0</v>
      </c>
      <c r="F44" s="88">
        <v>1</v>
      </c>
      <c r="G44" s="1">
        <f t="shared" si="0"/>
        <v>1</v>
      </c>
      <c r="I44" s="6">
        <f t="shared" si="3"/>
        <v>0.33333333333333331</v>
      </c>
      <c r="J44" s="7">
        <f>IFR!AD44</f>
        <v>2.047711682195147E-3</v>
      </c>
      <c r="K44" s="8">
        <f t="shared" si="1"/>
        <v>0.95</v>
      </c>
      <c r="L44" s="6">
        <f t="shared" si="6"/>
        <v>0.31666666666666665</v>
      </c>
      <c r="M44" s="8">
        <v>1</v>
      </c>
      <c r="N44" s="8">
        <v>1</v>
      </c>
      <c r="P44" s="6">
        <f t="shared" si="7"/>
        <v>0.31666666666666665</v>
      </c>
      <c r="R44" s="9">
        <f t="shared" si="2"/>
        <v>5.7253748613856657E-5</v>
      </c>
      <c r="T44" s="10">
        <f>+R44*([1]assessment!$J$272*[1]assessment!$E$3)</f>
        <v>515.51898172701442</v>
      </c>
      <c r="V44" s="7">
        <f>+T44/[1]payroll!$F44</f>
        <v>2.252602904421514E-5</v>
      </c>
      <c r="X44" s="10">
        <f>IF(V44&lt;$X$2,T44,[1]payroll!$F44*$X$2)</f>
        <v>515.51898172701442</v>
      </c>
      <c r="Z44" s="10">
        <f t="shared" si="4"/>
        <v>0</v>
      </c>
      <c r="AB44" s="1">
        <f t="shared" si="5"/>
        <v>1</v>
      </c>
    </row>
    <row r="45" spans="1:28">
      <c r="A45" s="1" t="s">
        <v>64</v>
      </c>
      <c r="B45" s="1" t="s">
        <v>518</v>
      </c>
      <c r="D45" s="88">
        <f>16+1</f>
        <v>17</v>
      </c>
      <c r="E45" s="88">
        <v>25</v>
      </c>
      <c r="F45" s="88">
        <v>28</v>
      </c>
      <c r="G45" s="1">
        <f>SUM(D45:F45)</f>
        <v>70</v>
      </c>
      <c r="I45" s="6">
        <f>AVERAGE(D45:F45)</f>
        <v>23.333333333333332</v>
      </c>
      <c r="J45" s="7">
        <f>IFR!AD45</f>
        <v>5.3475992303679614E-3</v>
      </c>
      <c r="K45" s="8">
        <f t="shared" si="1"/>
        <v>0.95</v>
      </c>
      <c r="L45" s="6">
        <f t="shared" si="6"/>
        <v>22.166666666666664</v>
      </c>
      <c r="M45" s="8">
        <v>1</v>
      </c>
      <c r="N45" s="8">
        <v>1</v>
      </c>
      <c r="P45" s="6">
        <f t="shared" si="7"/>
        <v>22.166666666666664</v>
      </c>
      <c r="R45" s="9">
        <f t="shared" si="2"/>
        <v>4.0077624029699653E-3</v>
      </c>
      <c r="T45" s="10">
        <f>+R45*([1]assessment!$J$272*[1]assessment!$E$3)</f>
        <v>36086.328720891004</v>
      </c>
      <c r="V45" s="7">
        <f>+T45/[1]payroll!$F45</f>
        <v>1.3979656269506161E-4</v>
      </c>
      <c r="X45" s="10">
        <f>IF(V45&lt;$X$2,T45,[1]payroll!$F45*$X$2)</f>
        <v>36086.328720891004</v>
      </c>
      <c r="Z45" s="10">
        <f t="shared" si="4"/>
        <v>0</v>
      </c>
      <c r="AB45" s="1">
        <f t="shared" si="5"/>
        <v>1</v>
      </c>
    </row>
    <row r="46" spans="1:28">
      <c r="A46" s="1" t="s">
        <v>538</v>
      </c>
      <c r="B46" s="1" t="s">
        <v>539</v>
      </c>
      <c r="D46" s="88">
        <v>0</v>
      </c>
      <c r="E46" s="88">
        <v>0</v>
      </c>
      <c r="F46" s="88">
        <v>0</v>
      </c>
      <c r="G46" s="1">
        <f>SUM(D46:F46)</f>
        <v>0</v>
      </c>
      <c r="I46" s="6">
        <f>AVERAGE(D46:F46)</f>
        <v>0</v>
      </c>
      <c r="J46" s="7">
        <f>IFR!AD46</f>
        <v>0</v>
      </c>
      <c r="K46" s="8">
        <f t="shared" si="1"/>
        <v>0.95</v>
      </c>
      <c r="L46" s="6">
        <f t="shared" si="6"/>
        <v>0</v>
      </c>
      <c r="M46" s="8">
        <v>1</v>
      </c>
      <c r="N46" s="8">
        <v>1</v>
      </c>
      <c r="P46" s="6">
        <f t="shared" si="7"/>
        <v>0</v>
      </c>
      <c r="R46" s="9">
        <f t="shared" si="2"/>
        <v>0</v>
      </c>
      <c r="T46" s="10">
        <f>+R46*([1]assessment!$J$272*[1]assessment!$E$3)</f>
        <v>0</v>
      </c>
      <c r="V46" s="7">
        <f>+T46/[1]payroll!$F46</f>
        <v>0</v>
      </c>
      <c r="X46" s="10">
        <f>IF(V46&lt;$X$2,T46,[1]payroll!$F46*$X$2)</f>
        <v>0</v>
      </c>
      <c r="Z46" s="10">
        <f t="shared" si="4"/>
        <v>0</v>
      </c>
      <c r="AB46" s="1" t="e">
        <f t="shared" si="5"/>
        <v>#DIV/0!</v>
      </c>
    </row>
    <row r="47" spans="1:28">
      <c r="A47" s="1" t="s">
        <v>65</v>
      </c>
      <c r="B47" s="1" t="s">
        <v>66</v>
      </c>
      <c r="D47" s="88">
        <v>0</v>
      </c>
      <c r="E47" s="88">
        <v>0</v>
      </c>
      <c r="F47" s="88">
        <v>0</v>
      </c>
      <c r="G47" s="1">
        <f>SUM(D47:F47)</f>
        <v>0</v>
      </c>
      <c r="I47" s="6">
        <f>AVERAGE(D47:F47)</f>
        <v>0</v>
      </c>
      <c r="J47" s="7">
        <f>IFR!AD47</f>
        <v>0</v>
      </c>
      <c r="K47" s="8">
        <f t="shared" si="1"/>
        <v>0.95</v>
      </c>
      <c r="L47" s="6">
        <f t="shared" si="6"/>
        <v>0</v>
      </c>
      <c r="M47" s="8">
        <v>1</v>
      </c>
      <c r="N47" s="8">
        <v>1</v>
      </c>
      <c r="P47" s="6">
        <f t="shared" si="7"/>
        <v>0</v>
      </c>
      <c r="R47" s="9">
        <f t="shared" si="2"/>
        <v>0</v>
      </c>
      <c r="T47" s="10">
        <f>+R47*([1]assessment!$J$272*[1]assessment!$E$3)</f>
        <v>0</v>
      </c>
      <c r="V47" s="7">
        <f>+T47/[1]payroll!$F47</f>
        <v>0</v>
      </c>
      <c r="X47" s="10">
        <f>IF(V47&lt;$X$2,T47,[1]payroll!$F47*$X$2)</f>
        <v>0</v>
      </c>
      <c r="Z47" s="10">
        <f t="shared" si="4"/>
        <v>0</v>
      </c>
      <c r="AB47" s="1" t="e">
        <f t="shared" si="5"/>
        <v>#DIV/0!</v>
      </c>
    </row>
    <row r="48" spans="1:28">
      <c r="A48" s="1" t="s">
        <v>67</v>
      </c>
      <c r="B48" s="1" t="s">
        <v>68</v>
      </c>
      <c r="D48" s="88">
        <v>1</v>
      </c>
      <c r="E48" s="88">
        <v>1</v>
      </c>
      <c r="F48" s="88">
        <v>0</v>
      </c>
      <c r="G48" s="1">
        <f>SUM(D48:F48)</f>
        <v>2</v>
      </c>
      <c r="I48" s="6">
        <f>AVERAGE(D48:F48)</f>
        <v>0.66666666666666663</v>
      </c>
      <c r="J48" s="7">
        <f>IFR!AD48</f>
        <v>1.4674343097584748E-3</v>
      </c>
      <c r="K48" s="8">
        <f t="shared" si="1"/>
        <v>0.95</v>
      </c>
      <c r="L48" s="6">
        <f t="shared" si="6"/>
        <v>0.6333333333333333</v>
      </c>
      <c r="M48" s="8">
        <v>1</v>
      </c>
      <c r="N48" s="8">
        <v>1</v>
      </c>
      <c r="P48" s="6">
        <f t="shared" si="7"/>
        <v>0.6333333333333333</v>
      </c>
      <c r="R48" s="9">
        <f t="shared" si="2"/>
        <v>1.1450749722771331E-4</v>
      </c>
      <c r="T48" s="10">
        <f>+R48*([1]assessment!$J$272*[1]assessment!$E$3)</f>
        <v>1031.0379634540288</v>
      </c>
      <c r="V48" s="7">
        <f>+T48/[1]payroll!$F48</f>
        <v>3.487544256430576E-5</v>
      </c>
      <c r="X48" s="10">
        <f>IF(V48&lt;$X$2,T48,[1]payroll!$F48*$X$2)</f>
        <v>1031.0379634540288</v>
      </c>
      <c r="Z48" s="10">
        <f t="shared" si="4"/>
        <v>0</v>
      </c>
      <c r="AB48" s="1">
        <f t="shared" si="5"/>
        <v>1</v>
      </c>
    </row>
    <row r="49" spans="1:28">
      <c r="A49" s="1" t="s">
        <v>69</v>
      </c>
      <c r="B49" s="1" t="s">
        <v>70</v>
      </c>
      <c r="D49" s="88">
        <v>0</v>
      </c>
      <c r="E49" s="88">
        <v>0</v>
      </c>
      <c r="F49" s="88">
        <v>0</v>
      </c>
      <c r="G49" s="1">
        <f>SUM(D49:F49)</f>
        <v>0</v>
      </c>
      <c r="I49" s="6">
        <f>AVERAGE(D49:F49)</f>
        <v>0</v>
      </c>
      <c r="J49" s="7">
        <f>IFR!AD49</f>
        <v>0</v>
      </c>
      <c r="K49" s="8">
        <f t="shared" si="1"/>
        <v>0.95</v>
      </c>
      <c r="L49" s="6">
        <f t="shared" si="6"/>
        <v>0</v>
      </c>
      <c r="M49" s="8">
        <v>1</v>
      </c>
      <c r="N49" s="8">
        <v>1</v>
      </c>
      <c r="P49" s="6">
        <f t="shared" si="7"/>
        <v>0</v>
      </c>
      <c r="R49" s="9">
        <f t="shared" si="2"/>
        <v>0</v>
      </c>
      <c r="T49" s="10">
        <f>+R49*([1]assessment!$J$272*[1]assessment!$E$3)</f>
        <v>0</v>
      </c>
      <c r="V49" s="7">
        <f>+T49/[1]payroll!$F49</f>
        <v>0</v>
      </c>
      <c r="X49" s="10">
        <f>IF(V49&lt;$X$2,T49,[1]payroll!$F49*$X$2)</f>
        <v>0</v>
      </c>
      <c r="Z49" s="10">
        <f t="shared" si="4"/>
        <v>0</v>
      </c>
      <c r="AB49" s="1" t="e">
        <f t="shared" si="5"/>
        <v>#DIV/0!</v>
      </c>
    </row>
    <row r="50" spans="1:28">
      <c r="A50" s="1" t="s">
        <v>71</v>
      </c>
      <c r="B50" s="1" t="s">
        <v>72</v>
      </c>
      <c r="D50" s="88">
        <v>0</v>
      </c>
      <c r="E50" s="88">
        <v>0</v>
      </c>
      <c r="F50" s="88">
        <v>0</v>
      </c>
      <c r="G50" s="1">
        <f t="shared" si="0"/>
        <v>0</v>
      </c>
      <c r="I50" s="6">
        <f t="shared" si="3"/>
        <v>0</v>
      </c>
      <c r="J50" s="7">
        <f>IFR!AD50</f>
        <v>0</v>
      </c>
      <c r="K50" s="8">
        <f t="shared" si="1"/>
        <v>0.95</v>
      </c>
      <c r="L50" s="6">
        <f t="shared" si="6"/>
        <v>0</v>
      </c>
      <c r="M50" s="8">
        <v>1</v>
      </c>
      <c r="N50" s="8">
        <v>1</v>
      </c>
      <c r="P50" s="6">
        <f t="shared" si="7"/>
        <v>0</v>
      </c>
      <c r="R50" s="9">
        <f t="shared" si="2"/>
        <v>0</v>
      </c>
      <c r="T50" s="10">
        <f>+R50*([1]assessment!$J$272*[1]assessment!$E$3)</f>
        <v>0</v>
      </c>
      <c r="V50" s="7">
        <f>+T50/[1]payroll!$F50</f>
        <v>0</v>
      </c>
      <c r="X50" s="10">
        <f>IF(V50&lt;$X$2,T50,[1]payroll!$F50*$X$2)</f>
        <v>0</v>
      </c>
      <c r="Z50" s="10">
        <f t="shared" si="4"/>
        <v>0</v>
      </c>
      <c r="AB50" s="1" t="e">
        <f t="shared" si="5"/>
        <v>#DIV/0!</v>
      </c>
    </row>
    <row r="51" spans="1:28">
      <c r="A51" s="1" t="s">
        <v>73</v>
      </c>
      <c r="B51" s="1" t="s">
        <v>74</v>
      </c>
      <c r="D51" s="88">
        <v>0</v>
      </c>
      <c r="E51" s="88">
        <v>0</v>
      </c>
      <c r="F51" s="88">
        <v>0</v>
      </c>
      <c r="G51" s="1">
        <f t="shared" si="0"/>
        <v>0</v>
      </c>
      <c r="I51" s="6">
        <f t="shared" si="3"/>
        <v>0</v>
      </c>
      <c r="J51" s="7">
        <f>IFR!AD51</f>
        <v>0</v>
      </c>
      <c r="K51" s="8">
        <f t="shared" si="1"/>
        <v>0.95</v>
      </c>
      <c r="L51" s="6">
        <f t="shared" si="6"/>
        <v>0</v>
      </c>
      <c r="M51" s="8">
        <v>1</v>
      </c>
      <c r="N51" s="8">
        <v>1</v>
      </c>
      <c r="P51" s="6">
        <f t="shared" si="7"/>
        <v>0</v>
      </c>
      <c r="R51" s="9">
        <f t="shared" si="2"/>
        <v>0</v>
      </c>
      <c r="T51" s="10">
        <f>+R51*([1]assessment!$J$272*[1]assessment!$E$3)</f>
        <v>0</v>
      </c>
      <c r="V51" s="7">
        <f>+T51/[1]payroll!$F51</f>
        <v>0</v>
      </c>
      <c r="X51" s="10">
        <f>IF(V51&lt;$X$2,T51,[1]payroll!$F51*$X$2)</f>
        <v>0</v>
      </c>
      <c r="Z51" s="10">
        <f t="shared" si="4"/>
        <v>0</v>
      </c>
      <c r="AB51" s="1" t="e">
        <f t="shared" si="5"/>
        <v>#DIV/0!</v>
      </c>
    </row>
    <row r="52" spans="1:28">
      <c r="A52" s="1" t="s">
        <v>75</v>
      </c>
      <c r="B52" s="1" t="s">
        <v>76</v>
      </c>
      <c r="D52" s="88">
        <v>0</v>
      </c>
      <c r="E52" s="88">
        <v>0</v>
      </c>
      <c r="F52" s="88">
        <v>0</v>
      </c>
      <c r="G52" s="1">
        <f t="shared" si="0"/>
        <v>0</v>
      </c>
      <c r="I52" s="6">
        <f t="shared" si="3"/>
        <v>0</v>
      </c>
      <c r="J52" s="7">
        <f>IFR!AD52</f>
        <v>0</v>
      </c>
      <c r="K52" s="8">
        <f t="shared" si="1"/>
        <v>0.95</v>
      </c>
      <c r="L52" s="6">
        <f t="shared" si="6"/>
        <v>0</v>
      </c>
      <c r="M52" s="8">
        <v>1</v>
      </c>
      <c r="N52" s="8">
        <v>1</v>
      </c>
      <c r="P52" s="6">
        <f t="shared" si="7"/>
        <v>0</v>
      </c>
      <c r="R52" s="9">
        <f t="shared" si="2"/>
        <v>0</v>
      </c>
      <c r="T52" s="10">
        <f>+R52*([1]assessment!$J$272*[1]assessment!$E$3)</f>
        <v>0</v>
      </c>
      <c r="V52" s="7">
        <f>+T52/[1]payroll!$F52</f>
        <v>0</v>
      </c>
      <c r="X52" s="10">
        <f>IF(V52&lt;$X$2,T52,[1]payroll!$F52*$X$2)</f>
        <v>0</v>
      </c>
      <c r="Z52" s="10">
        <f t="shared" si="4"/>
        <v>0</v>
      </c>
      <c r="AB52" s="1" t="e">
        <f t="shared" si="5"/>
        <v>#DIV/0!</v>
      </c>
    </row>
    <row r="53" spans="1:28">
      <c r="A53" s="1" t="s">
        <v>77</v>
      </c>
      <c r="B53" s="1" t="s">
        <v>78</v>
      </c>
      <c r="D53" s="88">
        <v>0</v>
      </c>
      <c r="E53" s="88">
        <v>0</v>
      </c>
      <c r="F53" s="88">
        <v>0</v>
      </c>
      <c r="G53" s="1">
        <f t="shared" si="0"/>
        <v>0</v>
      </c>
      <c r="I53" s="6">
        <f t="shared" si="3"/>
        <v>0</v>
      </c>
      <c r="J53" s="7">
        <f>IFR!AD53</f>
        <v>0</v>
      </c>
      <c r="K53" s="8">
        <f t="shared" si="1"/>
        <v>0.95</v>
      </c>
      <c r="L53" s="6">
        <f t="shared" si="6"/>
        <v>0</v>
      </c>
      <c r="M53" s="8">
        <v>1</v>
      </c>
      <c r="N53" s="8">
        <v>1</v>
      </c>
      <c r="P53" s="6">
        <f t="shared" si="7"/>
        <v>0</v>
      </c>
      <c r="R53" s="9">
        <f t="shared" si="2"/>
        <v>0</v>
      </c>
      <c r="T53" s="10">
        <f>+R53*([1]assessment!$J$272*[1]assessment!$E$3)</f>
        <v>0</v>
      </c>
      <c r="V53" s="7">
        <f>+T53/[1]payroll!$F53</f>
        <v>0</v>
      </c>
      <c r="X53" s="10">
        <f>IF(V53&lt;$X$2,T53,[1]payroll!$F53*$X$2)</f>
        <v>0</v>
      </c>
      <c r="Z53" s="10">
        <f t="shared" si="4"/>
        <v>0</v>
      </c>
      <c r="AB53" s="1" t="e">
        <f t="shared" si="5"/>
        <v>#DIV/0!</v>
      </c>
    </row>
    <row r="54" spans="1:28">
      <c r="A54" s="1" t="s">
        <v>79</v>
      </c>
      <c r="B54" s="1" t="s">
        <v>80</v>
      </c>
      <c r="D54" s="88">
        <v>0</v>
      </c>
      <c r="E54" s="88">
        <v>0</v>
      </c>
      <c r="F54" s="88">
        <v>1</v>
      </c>
      <c r="G54" s="1">
        <f t="shared" si="0"/>
        <v>1</v>
      </c>
      <c r="I54" s="6">
        <f t="shared" si="3"/>
        <v>0.33333333333333331</v>
      </c>
      <c r="J54" s="7">
        <f>IFR!AD54</f>
        <v>4.61361014994233E-3</v>
      </c>
      <c r="K54" s="8">
        <f t="shared" si="1"/>
        <v>0.95</v>
      </c>
      <c r="L54" s="6">
        <f t="shared" si="6"/>
        <v>0.31666666666666665</v>
      </c>
      <c r="M54" s="8">
        <v>1</v>
      </c>
      <c r="N54" s="8">
        <v>1</v>
      </c>
      <c r="P54" s="6">
        <f t="shared" si="7"/>
        <v>0.31666666666666665</v>
      </c>
      <c r="R54" s="9">
        <f t="shared" si="2"/>
        <v>5.7253748613856657E-5</v>
      </c>
      <c r="T54" s="10">
        <f>+R54*([1]assessment!$J$272*[1]assessment!$E$3)</f>
        <v>515.51898172701442</v>
      </c>
      <c r="V54" s="7">
        <f>+T54/[1]payroll!$F54</f>
        <v>5.4556980080432709E-5</v>
      </c>
      <c r="X54" s="10">
        <f>IF(V54&lt;$X$2,T54,[1]payroll!$F54*$X$2)</f>
        <v>515.51898172701442</v>
      </c>
      <c r="Z54" s="10">
        <f t="shared" si="4"/>
        <v>0</v>
      </c>
      <c r="AB54" s="1">
        <f t="shared" si="5"/>
        <v>1</v>
      </c>
    </row>
    <row r="55" spans="1:28">
      <c r="A55" s="1" t="s">
        <v>81</v>
      </c>
      <c r="B55" s="1" t="s">
        <v>82</v>
      </c>
      <c r="D55" s="88">
        <v>0</v>
      </c>
      <c r="E55" s="88">
        <v>0</v>
      </c>
      <c r="F55" s="88">
        <v>0</v>
      </c>
      <c r="G55" s="1">
        <f t="shared" si="0"/>
        <v>0</v>
      </c>
      <c r="I55" s="6">
        <f t="shared" si="3"/>
        <v>0</v>
      </c>
      <c r="J55" s="7">
        <f>IFR!AD55</f>
        <v>0</v>
      </c>
      <c r="K55" s="8">
        <f t="shared" si="1"/>
        <v>0.95</v>
      </c>
      <c r="L55" s="6">
        <f t="shared" si="6"/>
        <v>0</v>
      </c>
      <c r="M55" s="8">
        <v>1</v>
      </c>
      <c r="N55" s="8">
        <v>1</v>
      </c>
      <c r="P55" s="6">
        <f t="shared" si="7"/>
        <v>0</v>
      </c>
      <c r="R55" s="9">
        <f t="shared" si="2"/>
        <v>0</v>
      </c>
      <c r="T55" s="10">
        <f>+R55*([1]assessment!$J$272*[1]assessment!$E$3)</f>
        <v>0</v>
      </c>
      <c r="V55" s="7">
        <f>+T55/[1]payroll!$F55</f>
        <v>0</v>
      </c>
      <c r="X55" s="10">
        <f>IF(V55&lt;$X$2,T55,[1]payroll!$F55*$X$2)</f>
        <v>0</v>
      </c>
      <c r="Z55" s="10">
        <f t="shared" si="4"/>
        <v>0</v>
      </c>
      <c r="AB55" s="1" t="e">
        <f t="shared" si="5"/>
        <v>#DIV/0!</v>
      </c>
    </row>
    <row r="56" spans="1:28">
      <c r="A56" s="1" t="s">
        <v>83</v>
      </c>
      <c r="B56" s="11" t="s">
        <v>542</v>
      </c>
      <c r="D56" s="88">
        <f>98+6</f>
        <v>104</v>
      </c>
      <c r="E56" s="88">
        <v>61</v>
      </c>
      <c r="F56" s="88">
        <v>100</v>
      </c>
      <c r="G56" s="59">
        <f>SUM(D56:F56)</f>
        <v>265</v>
      </c>
      <c r="I56" s="6">
        <f t="shared" si="3"/>
        <v>88.333333333333329</v>
      </c>
      <c r="J56" s="7">
        <f>IFR!AD56</f>
        <v>0.16016781649842768</v>
      </c>
      <c r="K56" s="8">
        <f t="shared" si="1"/>
        <v>1.05</v>
      </c>
      <c r="L56" s="6">
        <f t="shared" si="6"/>
        <v>92.75</v>
      </c>
      <c r="M56" s="8">
        <v>1</v>
      </c>
      <c r="N56" s="8">
        <v>1</v>
      </c>
      <c r="P56" s="6">
        <f t="shared" si="7"/>
        <v>92.75</v>
      </c>
      <c r="R56" s="9">
        <f t="shared" si="2"/>
        <v>1.6769321633479595E-2</v>
      </c>
      <c r="T56" s="10">
        <f>+R56*([1]assessment!$J$272*[1]assessment!$E$3)</f>
        <v>150992.79649004398</v>
      </c>
      <c r="V56" s="7">
        <f>+T56/[1]payroll!$F56</f>
        <v>2.946475386358424E-4</v>
      </c>
      <c r="X56" s="10">
        <f>IF(V56&lt;$X$2,T56,[1]payroll!$F56*$X$2)</f>
        <v>150992.79649004398</v>
      </c>
      <c r="Z56" s="10">
        <f t="shared" si="4"/>
        <v>0</v>
      </c>
      <c r="AB56" s="1">
        <f t="shared" si="5"/>
        <v>1</v>
      </c>
    </row>
    <row r="57" spans="1:28">
      <c r="A57" s="1" t="s">
        <v>84</v>
      </c>
      <c r="B57" s="1" t="s">
        <v>85</v>
      </c>
      <c r="D57" s="88">
        <v>1</v>
      </c>
      <c r="E57" s="88">
        <v>2</v>
      </c>
      <c r="F57" s="88">
        <v>1</v>
      </c>
      <c r="G57" s="1">
        <f t="shared" ref="G57:G98" si="8">SUM(D57:F57)</f>
        <v>4</v>
      </c>
      <c r="I57" s="6">
        <f t="shared" si="3"/>
        <v>1.3333333333333333</v>
      </c>
      <c r="J57" s="7">
        <f>IFR!AD57</f>
        <v>3.1205359436811647E-3</v>
      </c>
      <c r="K57" s="8">
        <f t="shared" si="1"/>
        <v>0.95</v>
      </c>
      <c r="L57" s="6">
        <f t="shared" si="6"/>
        <v>1.2666666666666666</v>
      </c>
      <c r="M57" s="8">
        <v>1</v>
      </c>
      <c r="N57" s="8">
        <v>1</v>
      </c>
      <c r="P57" s="6">
        <f t="shared" si="7"/>
        <v>1.2666666666666666</v>
      </c>
      <c r="R57" s="9">
        <f t="shared" si="2"/>
        <v>2.2901499445542663E-4</v>
      </c>
      <c r="T57" s="10">
        <f>+R57*([1]assessment!$J$272*[1]assessment!$E$3)</f>
        <v>2062.0759269080577</v>
      </c>
      <c r="V57" s="7">
        <f>+T57/[1]payroll!$F57</f>
        <v>8.4541636440631251E-5</v>
      </c>
      <c r="X57" s="10">
        <f>IF(V57&lt;$X$2,T57,[1]payroll!$F57*$X$2)</f>
        <v>2062.0759269080577</v>
      </c>
      <c r="Z57" s="10">
        <f t="shared" si="4"/>
        <v>0</v>
      </c>
      <c r="AB57" s="1">
        <f t="shared" si="5"/>
        <v>1</v>
      </c>
    </row>
    <row r="58" spans="1:28">
      <c r="A58" s="1" t="s">
        <v>86</v>
      </c>
      <c r="B58" s="1" t="s">
        <v>87</v>
      </c>
      <c r="D58" s="88">
        <v>479</v>
      </c>
      <c r="E58" s="88">
        <v>483</v>
      </c>
      <c r="F58" s="88">
        <v>487</v>
      </c>
      <c r="G58" s="1">
        <f t="shared" si="8"/>
        <v>1449</v>
      </c>
      <c r="I58" s="6">
        <f t="shared" si="3"/>
        <v>483</v>
      </c>
      <c r="J58" s="7">
        <f>IFR!AD58</f>
        <v>4.7192132325182469E-2</v>
      </c>
      <c r="K58" s="8">
        <f t="shared" si="1"/>
        <v>1</v>
      </c>
      <c r="L58" s="6">
        <f t="shared" si="6"/>
        <v>483</v>
      </c>
      <c r="M58" s="8">
        <v>1</v>
      </c>
      <c r="N58" s="8">
        <v>1</v>
      </c>
      <c r="P58" s="6">
        <f t="shared" si="7"/>
        <v>483</v>
      </c>
      <c r="R58" s="9">
        <f t="shared" si="2"/>
        <v>8.7327033412082422E-2</v>
      </c>
      <c r="T58" s="10">
        <f>+R58*([1]assessment!$J$272*[1]assessment!$E$3)</f>
        <v>786302.11002362531</v>
      </c>
      <c r="V58" s="7">
        <f>+T58/[1]payroll!$F58</f>
        <v>1.1051288901989115E-3</v>
      </c>
      <c r="X58" s="10">
        <f>IF(V58&lt;$X$2,T58,[1]payroll!$F58*$X$2)</f>
        <v>786302.11002362531</v>
      </c>
      <c r="Z58" s="10">
        <f t="shared" si="4"/>
        <v>0</v>
      </c>
      <c r="AB58" s="1">
        <f t="shared" si="5"/>
        <v>1</v>
      </c>
    </row>
    <row r="59" spans="1:28">
      <c r="A59" s="1" t="s">
        <v>88</v>
      </c>
      <c r="B59" s="11" t="s">
        <v>540</v>
      </c>
      <c r="D59" s="88">
        <v>0</v>
      </c>
      <c r="E59" s="88">
        <v>0</v>
      </c>
      <c r="F59" s="88">
        <v>0</v>
      </c>
      <c r="G59" s="1">
        <f t="shared" si="8"/>
        <v>0</v>
      </c>
      <c r="I59" s="6">
        <f t="shared" si="3"/>
        <v>0</v>
      </c>
      <c r="J59" s="7">
        <f>IFR!AD59</f>
        <v>0</v>
      </c>
      <c r="K59" s="8">
        <f t="shared" si="1"/>
        <v>0.95</v>
      </c>
      <c r="L59" s="6">
        <f t="shared" si="6"/>
        <v>0</v>
      </c>
      <c r="M59" s="8">
        <v>1</v>
      </c>
      <c r="N59" s="8">
        <v>1</v>
      </c>
      <c r="P59" s="6">
        <f t="shared" si="7"/>
        <v>0</v>
      </c>
      <c r="R59" s="9">
        <f t="shared" si="2"/>
        <v>0</v>
      </c>
      <c r="T59" s="10">
        <f>+R59*([1]assessment!$J$272*[1]assessment!$E$3)</f>
        <v>0</v>
      </c>
      <c r="V59" s="7">
        <f>+T59/[1]payroll!$F59</f>
        <v>0</v>
      </c>
      <c r="X59" s="10">
        <f>IF(V59&lt;$X$2,T59,[1]payroll!$F59*$X$2)</f>
        <v>0</v>
      </c>
      <c r="Z59" s="10">
        <f t="shared" si="4"/>
        <v>0</v>
      </c>
      <c r="AB59" s="1" t="e">
        <f t="shared" si="5"/>
        <v>#DIV/0!</v>
      </c>
    </row>
    <row r="60" spans="1:28">
      <c r="A60" s="1" t="s">
        <v>89</v>
      </c>
      <c r="B60" s="1" t="s">
        <v>90</v>
      </c>
      <c r="D60" s="88">
        <v>0</v>
      </c>
      <c r="E60" s="88">
        <v>0</v>
      </c>
      <c r="F60" s="88">
        <v>0</v>
      </c>
      <c r="G60" s="1">
        <f t="shared" si="8"/>
        <v>0</v>
      </c>
      <c r="I60" s="6">
        <f t="shared" si="3"/>
        <v>0</v>
      </c>
      <c r="J60" s="7">
        <f>IFR!AD60</f>
        <v>0</v>
      </c>
      <c r="K60" s="8">
        <f t="shared" si="1"/>
        <v>0.95</v>
      </c>
      <c r="L60" s="6">
        <f t="shared" si="6"/>
        <v>0</v>
      </c>
      <c r="M60" s="8">
        <v>1</v>
      </c>
      <c r="N60" s="8">
        <v>1</v>
      </c>
      <c r="P60" s="6">
        <f t="shared" si="7"/>
        <v>0</v>
      </c>
      <c r="R60" s="9">
        <f t="shared" si="2"/>
        <v>0</v>
      </c>
      <c r="T60" s="10">
        <f>+R60*([1]assessment!$J$272*[1]assessment!$E$3)</f>
        <v>0</v>
      </c>
      <c r="V60" s="7">
        <f>+T60/[1]payroll!$F60</f>
        <v>0</v>
      </c>
      <c r="X60" s="10">
        <f>IF(V60&lt;$X$2,T60,[1]payroll!$F60*$X$2)</f>
        <v>0</v>
      </c>
      <c r="Z60" s="10">
        <f t="shared" si="4"/>
        <v>0</v>
      </c>
      <c r="AB60" s="1" t="e">
        <f t="shared" si="5"/>
        <v>#DIV/0!</v>
      </c>
    </row>
    <row r="61" spans="1:28">
      <c r="A61" s="1" t="s">
        <v>91</v>
      </c>
      <c r="B61" s="1" t="s">
        <v>92</v>
      </c>
      <c r="D61" s="88">
        <v>0</v>
      </c>
      <c r="E61" s="88">
        <v>1</v>
      </c>
      <c r="F61" s="88">
        <v>0</v>
      </c>
      <c r="G61" s="1">
        <f t="shared" si="8"/>
        <v>1</v>
      </c>
      <c r="I61" s="6">
        <f t="shared" si="3"/>
        <v>0.33333333333333331</v>
      </c>
      <c r="J61" s="7">
        <f>IFR!AD61</f>
        <v>3.3333333333333335E-3</v>
      </c>
      <c r="K61" s="8">
        <f t="shared" si="1"/>
        <v>0.95</v>
      </c>
      <c r="L61" s="6">
        <f t="shared" si="6"/>
        <v>0.31666666666666665</v>
      </c>
      <c r="M61" s="8">
        <v>1</v>
      </c>
      <c r="N61" s="8">
        <v>1</v>
      </c>
      <c r="P61" s="6">
        <f t="shared" si="7"/>
        <v>0.31666666666666665</v>
      </c>
      <c r="R61" s="9">
        <f t="shared" si="2"/>
        <v>5.7253748613856657E-5</v>
      </c>
      <c r="T61" s="10">
        <f>+R61*([1]assessment!$J$272*[1]assessment!$E$3)</f>
        <v>515.51898172701442</v>
      </c>
      <c r="V61" s="7">
        <f>+T61/[1]payroll!$F61</f>
        <v>2.2874976141435934E-4</v>
      </c>
      <c r="X61" s="10">
        <f>IF(V61&lt;$X$2,T61,[1]payroll!$F61*$X$2)</f>
        <v>515.51898172701442</v>
      </c>
      <c r="Z61" s="10">
        <f t="shared" si="4"/>
        <v>0</v>
      </c>
      <c r="AB61" s="1">
        <f t="shared" si="5"/>
        <v>1</v>
      </c>
    </row>
    <row r="62" spans="1:28">
      <c r="A62" s="1" t="s">
        <v>478</v>
      </c>
      <c r="B62" s="1" t="s">
        <v>479</v>
      </c>
      <c r="D62" s="88">
        <v>0</v>
      </c>
      <c r="E62" s="88">
        <v>1</v>
      </c>
      <c r="F62" s="88">
        <v>0</v>
      </c>
      <c r="G62" s="1">
        <f>SUM(D62:F62)</f>
        <v>1</v>
      </c>
      <c r="I62" s="6">
        <f>AVERAGE(D62:F62)</f>
        <v>0.33333333333333331</v>
      </c>
      <c r="J62" s="7">
        <f>IFR!AD62</f>
        <v>2.5440437575526306E-3</v>
      </c>
      <c r="K62" s="8">
        <f t="shared" si="1"/>
        <v>0.95</v>
      </c>
      <c r="L62" s="6">
        <f t="shared" si="6"/>
        <v>0.31666666666666665</v>
      </c>
      <c r="M62" s="8">
        <v>1</v>
      </c>
      <c r="N62" s="8">
        <v>1</v>
      </c>
      <c r="P62" s="6">
        <f t="shared" si="7"/>
        <v>0.31666666666666665</v>
      </c>
      <c r="R62" s="9">
        <f t="shared" si="2"/>
        <v>5.7253748613856657E-5</v>
      </c>
      <c r="T62" s="10">
        <f>+R62*([1]assessment!$J$272*[1]assessment!$E$3)</f>
        <v>515.51898172701442</v>
      </c>
      <c r="V62" s="7">
        <f>+T62/[1]payroll!$F62</f>
        <v>6.6161791224050029E-5</v>
      </c>
      <c r="X62" s="10">
        <f>IF(V62&lt;$X$2,T62,[1]payroll!$F62*$X$2)</f>
        <v>515.51898172701442</v>
      </c>
      <c r="Z62" s="10">
        <f t="shared" si="4"/>
        <v>0</v>
      </c>
      <c r="AB62" s="1">
        <f t="shared" si="5"/>
        <v>1</v>
      </c>
    </row>
    <row r="63" spans="1:28">
      <c r="A63" s="1" t="s">
        <v>93</v>
      </c>
      <c r="B63" s="1" t="s">
        <v>480</v>
      </c>
      <c r="D63" s="88">
        <v>0</v>
      </c>
      <c r="E63" s="88">
        <v>0</v>
      </c>
      <c r="F63" s="88">
        <v>0</v>
      </c>
      <c r="G63" s="1">
        <f t="shared" si="8"/>
        <v>0</v>
      </c>
      <c r="I63" s="6">
        <f t="shared" si="3"/>
        <v>0</v>
      </c>
      <c r="J63" s="7">
        <f>IFR!AD63</f>
        <v>0</v>
      </c>
      <c r="K63" s="8">
        <f t="shared" si="1"/>
        <v>0.95</v>
      </c>
      <c r="L63" s="6">
        <f t="shared" si="6"/>
        <v>0</v>
      </c>
      <c r="M63" s="8">
        <v>1</v>
      </c>
      <c r="N63" s="8">
        <v>1</v>
      </c>
      <c r="P63" s="6">
        <f t="shared" si="7"/>
        <v>0</v>
      </c>
      <c r="R63" s="9">
        <f t="shared" si="2"/>
        <v>0</v>
      </c>
      <c r="T63" s="10">
        <f>+R63*([1]assessment!$J$272*[1]assessment!$E$3)</f>
        <v>0</v>
      </c>
      <c r="V63" s="7">
        <f>+T63/[1]payroll!$F63</f>
        <v>0</v>
      </c>
      <c r="X63" s="10">
        <f>IF(V63&lt;$X$2,T63,[1]payroll!$F63*$X$2)</f>
        <v>0</v>
      </c>
      <c r="Z63" s="10">
        <f t="shared" si="4"/>
        <v>0</v>
      </c>
      <c r="AB63" s="1" t="e">
        <f t="shared" si="5"/>
        <v>#DIV/0!</v>
      </c>
    </row>
    <row r="64" spans="1:28">
      <c r="A64" s="1" t="s">
        <v>94</v>
      </c>
      <c r="B64" s="1" t="s">
        <v>95</v>
      </c>
      <c r="D64" s="88">
        <v>0</v>
      </c>
      <c r="E64" s="88">
        <v>0</v>
      </c>
      <c r="F64" s="88">
        <v>0</v>
      </c>
      <c r="G64" s="1">
        <f t="shared" si="8"/>
        <v>0</v>
      </c>
      <c r="I64" s="6">
        <f t="shared" si="3"/>
        <v>0</v>
      </c>
      <c r="J64" s="7">
        <f>IFR!AD64</f>
        <v>0</v>
      </c>
      <c r="K64" s="8">
        <f t="shared" si="1"/>
        <v>0.95</v>
      </c>
      <c r="L64" s="6">
        <f t="shared" si="6"/>
        <v>0</v>
      </c>
      <c r="M64" s="8">
        <v>1</v>
      </c>
      <c r="N64" s="8">
        <v>1</v>
      </c>
      <c r="P64" s="6">
        <f t="shared" si="7"/>
        <v>0</v>
      </c>
      <c r="R64" s="9">
        <f t="shared" si="2"/>
        <v>0</v>
      </c>
      <c r="T64" s="10">
        <f>+R64*([1]assessment!$J$272*[1]assessment!$E$3)</f>
        <v>0</v>
      </c>
      <c r="V64" s="7">
        <f>+T64/[1]payroll!$F64</f>
        <v>0</v>
      </c>
      <c r="X64" s="10">
        <f>IF(V64&lt;$X$2,T64,[1]payroll!$F64*$X$2)</f>
        <v>0</v>
      </c>
      <c r="Z64" s="10">
        <f t="shared" si="4"/>
        <v>0</v>
      </c>
      <c r="AB64" s="1" t="e">
        <f t="shared" si="5"/>
        <v>#DIV/0!</v>
      </c>
    </row>
    <row r="65" spans="1:28">
      <c r="A65" s="1" t="s">
        <v>96</v>
      </c>
      <c r="B65" s="1" t="s">
        <v>97</v>
      </c>
      <c r="D65" s="88">
        <v>2</v>
      </c>
      <c r="E65" s="88">
        <f>6+1</f>
        <v>7</v>
      </c>
      <c r="F65" s="88">
        <f>3+2</f>
        <v>5</v>
      </c>
      <c r="G65" s="1">
        <f t="shared" si="8"/>
        <v>14</v>
      </c>
      <c r="I65" s="6">
        <f t="shared" si="3"/>
        <v>4.666666666666667</v>
      </c>
      <c r="J65" s="7">
        <f>IFR!AD65</f>
        <v>6.5553678460111842E-3</v>
      </c>
      <c r="K65" s="8">
        <f t="shared" si="1"/>
        <v>0.95</v>
      </c>
      <c r="L65" s="6">
        <f t="shared" si="6"/>
        <v>4.4333333333333336</v>
      </c>
      <c r="M65" s="8">
        <v>1</v>
      </c>
      <c r="N65" s="8">
        <v>1</v>
      </c>
      <c r="P65" s="6">
        <f t="shared" si="7"/>
        <v>4.4333333333333336</v>
      </c>
      <c r="R65" s="9">
        <f t="shared" si="2"/>
        <v>8.0155248059399328E-4</v>
      </c>
      <c r="T65" s="10">
        <f>+R65*([1]assessment!$J$272*[1]assessment!$E$3)</f>
        <v>7217.265744178203</v>
      </c>
      <c r="V65" s="7">
        <f>+T65/[1]payroll!$F65</f>
        <v>1.274871942003236E-4</v>
      </c>
      <c r="X65" s="10">
        <f>IF(V65&lt;$X$2,T65,[1]payroll!$F65*$X$2)</f>
        <v>7217.265744178203</v>
      </c>
      <c r="Z65" s="10">
        <f t="shared" si="4"/>
        <v>0</v>
      </c>
      <c r="AB65" s="1">
        <f t="shared" si="5"/>
        <v>1</v>
      </c>
    </row>
    <row r="66" spans="1:28">
      <c r="A66" s="1" t="s">
        <v>98</v>
      </c>
      <c r="B66" s="1" t="s">
        <v>99</v>
      </c>
      <c r="D66" s="88">
        <v>5</v>
      </c>
      <c r="E66" s="88">
        <v>8</v>
      </c>
      <c r="F66" s="88">
        <v>3</v>
      </c>
      <c r="G66" s="1">
        <f t="shared" si="8"/>
        <v>16</v>
      </c>
      <c r="I66" s="6">
        <f t="shared" si="3"/>
        <v>5.333333333333333</v>
      </c>
      <c r="J66" s="7">
        <f>IFR!AD66</f>
        <v>4.122655111405445E-3</v>
      </c>
      <c r="K66" s="8">
        <f t="shared" si="1"/>
        <v>0.95</v>
      </c>
      <c r="L66" s="6">
        <f t="shared" si="6"/>
        <v>5.0666666666666664</v>
      </c>
      <c r="M66" s="8">
        <v>1</v>
      </c>
      <c r="N66" s="8">
        <v>1</v>
      </c>
      <c r="P66" s="6">
        <f t="shared" si="7"/>
        <v>5.0666666666666664</v>
      </c>
      <c r="R66" s="9">
        <f t="shared" si="2"/>
        <v>9.1605997782170652E-4</v>
      </c>
      <c r="T66" s="10">
        <f>+R66*([1]assessment!$J$272*[1]assessment!$E$3)</f>
        <v>8248.3037076322307</v>
      </c>
      <c r="V66" s="7">
        <f>+T66/[1]payroll!$F66</f>
        <v>9.5507043535237541E-5</v>
      </c>
      <c r="X66" s="10">
        <f>IF(V66&lt;$X$2,T66,[1]payroll!$F66*$X$2)</f>
        <v>8248.3037076322307</v>
      </c>
      <c r="Z66" s="10">
        <f t="shared" si="4"/>
        <v>0</v>
      </c>
      <c r="AB66" s="1">
        <f t="shared" si="5"/>
        <v>1</v>
      </c>
    </row>
    <row r="67" spans="1:28">
      <c r="A67" s="1" t="s">
        <v>100</v>
      </c>
      <c r="B67" s="1" t="s">
        <v>519</v>
      </c>
      <c r="D67" s="88">
        <v>3</v>
      </c>
      <c r="E67" s="88">
        <v>2</v>
      </c>
      <c r="F67" s="88">
        <v>3</v>
      </c>
      <c r="G67" s="1">
        <f t="shared" si="8"/>
        <v>8</v>
      </c>
      <c r="I67" s="6">
        <f t="shared" si="3"/>
        <v>2.6666666666666665</v>
      </c>
      <c r="J67" s="7">
        <f>IFR!AD67</f>
        <v>2.7597547063231104E-3</v>
      </c>
      <c r="K67" s="8">
        <f t="shared" si="1"/>
        <v>0.95</v>
      </c>
      <c r="L67" s="6">
        <f t="shared" si="6"/>
        <v>2.5333333333333332</v>
      </c>
      <c r="M67" s="8">
        <v>1</v>
      </c>
      <c r="N67" s="8">
        <v>1</v>
      </c>
      <c r="P67" s="6">
        <f t="shared" si="7"/>
        <v>2.5333333333333332</v>
      </c>
      <c r="R67" s="9">
        <f t="shared" si="2"/>
        <v>4.5802998891085326E-4</v>
      </c>
      <c r="T67" s="10">
        <f>+R67*([1]assessment!$J$272*[1]assessment!$E$3)</f>
        <v>4124.1518538161154</v>
      </c>
      <c r="V67" s="7">
        <f>+T67/[1]payroll!$F67</f>
        <v>5.6485616454837337E-5</v>
      </c>
      <c r="X67" s="10">
        <f>IF(V67&lt;$X$2,T67,[1]payroll!$F67*$X$2)</f>
        <v>4124.1518538161154</v>
      </c>
      <c r="Z67" s="10">
        <f t="shared" si="4"/>
        <v>0</v>
      </c>
      <c r="AB67" s="1">
        <f t="shared" si="5"/>
        <v>1</v>
      </c>
    </row>
    <row r="68" spans="1:28">
      <c r="A68" s="1" t="s">
        <v>101</v>
      </c>
      <c r="B68" s="1" t="s">
        <v>102</v>
      </c>
      <c r="D68" s="88">
        <v>0</v>
      </c>
      <c r="E68" s="88">
        <v>0</v>
      </c>
      <c r="F68" s="88">
        <v>0</v>
      </c>
      <c r="G68" s="1">
        <f t="shared" si="8"/>
        <v>0</v>
      </c>
      <c r="I68" s="6">
        <f t="shared" si="3"/>
        <v>0</v>
      </c>
      <c r="J68" s="7">
        <f>IFR!AD68</f>
        <v>0</v>
      </c>
      <c r="K68" s="8">
        <f t="shared" si="1"/>
        <v>0.95</v>
      </c>
      <c r="L68" s="6">
        <f t="shared" si="6"/>
        <v>0</v>
      </c>
      <c r="M68" s="8">
        <v>1</v>
      </c>
      <c r="N68" s="8">
        <v>1</v>
      </c>
      <c r="P68" s="6">
        <f t="shared" si="7"/>
        <v>0</v>
      </c>
      <c r="R68" s="9">
        <f t="shared" si="2"/>
        <v>0</v>
      </c>
      <c r="T68" s="10">
        <f>+R68*([1]assessment!$J$272*[1]assessment!$E$3)</f>
        <v>0</v>
      </c>
      <c r="V68" s="7">
        <f>+T68/[1]payroll!$F68</f>
        <v>0</v>
      </c>
      <c r="X68" s="10">
        <f>IF(V68&lt;$X$2,T68,[1]payroll!$F68*$X$2)</f>
        <v>0</v>
      </c>
      <c r="Z68" s="10">
        <f t="shared" si="4"/>
        <v>0</v>
      </c>
      <c r="AB68" s="1" t="e">
        <f t="shared" si="5"/>
        <v>#DIV/0!</v>
      </c>
    </row>
    <row r="69" spans="1:28">
      <c r="A69" s="1" t="s">
        <v>103</v>
      </c>
      <c r="B69" s="1" t="s">
        <v>104</v>
      </c>
      <c r="D69" s="88">
        <v>0</v>
      </c>
      <c r="E69" s="88">
        <v>1</v>
      </c>
      <c r="F69" s="88">
        <v>0</v>
      </c>
      <c r="G69" s="1">
        <f t="shared" si="8"/>
        <v>1</v>
      </c>
      <c r="I69" s="6">
        <f t="shared" si="3"/>
        <v>0.33333333333333331</v>
      </c>
      <c r="J69" s="7">
        <f>IFR!AD69</f>
        <v>3.3333333333333335E-3</v>
      </c>
      <c r="K69" s="8">
        <f t="shared" ref="K69:K132" si="9">IF(+J69&lt;$E$267,$I$267,IF(J69&gt;$E$269,$I$269,$I$268))</f>
        <v>0.95</v>
      </c>
      <c r="L69" s="6">
        <f t="shared" si="6"/>
        <v>0.31666666666666665</v>
      </c>
      <c r="M69" s="8">
        <v>1</v>
      </c>
      <c r="N69" s="8">
        <v>1</v>
      </c>
      <c r="P69" s="6">
        <f t="shared" si="7"/>
        <v>0.31666666666666665</v>
      </c>
      <c r="R69" s="9">
        <f t="shared" ref="R69:R132" si="10">+P69/$P$264</f>
        <v>5.7253748613856657E-5</v>
      </c>
      <c r="T69" s="10">
        <f>+R69*([1]assessment!$J$272*[1]assessment!$E$3)</f>
        <v>515.51898172701442</v>
      </c>
      <c r="V69" s="7">
        <f>+T69/[1]payroll!$F69</f>
        <v>1.6302769546032206E-4</v>
      </c>
      <c r="X69" s="10">
        <f>IF(V69&lt;$X$2,T69,[1]payroll!$F69*$X$2)</f>
        <v>515.51898172701442</v>
      </c>
      <c r="Z69" s="10">
        <f t="shared" ref="Z69:Z131" si="11">+T69-X69</f>
        <v>0</v>
      </c>
      <c r="AB69" s="1">
        <f t="shared" ref="AB69:AB131" si="12">+X69/T69</f>
        <v>1</v>
      </c>
    </row>
    <row r="70" spans="1:28">
      <c r="A70" s="1" t="s">
        <v>105</v>
      </c>
      <c r="B70" s="1" t="s">
        <v>106</v>
      </c>
      <c r="D70" s="88">
        <v>12</v>
      </c>
      <c r="E70" s="88">
        <v>12</v>
      </c>
      <c r="F70" s="88">
        <v>13</v>
      </c>
      <c r="G70" s="1">
        <f t="shared" si="8"/>
        <v>37</v>
      </c>
      <c r="I70" s="6">
        <f t="shared" ref="I70:I98" si="13">AVERAGE(D70:F70)</f>
        <v>12.333333333333334</v>
      </c>
      <c r="J70" s="7">
        <f>IFR!AD70</f>
        <v>2.3613599128336354E-2</v>
      </c>
      <c r="K70" s="8">
        <f t="shared" si="9"/>
        <v>0.95</v>
      </c>
      <c r="L70" s="6">
        <f t="shared" ref="L70:L132" si="14">+I70*K70</f>
        <v>11.716666666666667</v>
      </c>
      <c r="M70" s="8">
        <v>1</v>
      </c>
      <c r="N70" s="8">
        <v>1</v>
      </c>
      <c r="P70" s="6">
        <f t="shared" ref="P70:P132" si="15">+L70*M70*N70</f>
        <v>11.716666666666667</v>
      </c>
      <c r="R70" s="9">
        <f t="shared" si="10"/>
        <v>2.1183886987126963E-3</v>
      </c>
      <c r="T70" s="10">
        <f>+R70*([1]assessment!$J$272*[1]assessment!$E$3)</f>
        <v>19074.202323899535</v>
      </c>
      <c r="V70" s="7">
        <f>+T70/[1]payroll!$F70</f>
        <v>4.9852000862851426E-4</v>
      </c>
      <c r="X70" s="10">
        <f>IF(V70&lt;$X$2,T70,[1]payroll!$F70*$X$2)</f>
        <v>19074.202323899535</v>
      </c>
      <c r="Z70" s="10">
        <f t="shared" si="11"/>
        <v>0</v>
      </c>
      <c r="AB70" s="1">
        <f t="shared" si="12"/>
        <v>1</v>
      </c>
    </row>
    <row r="71" spans="1:28">
      <c r="A71" s="1" t="s">
        <v>107</v>
      </c>
      <c r="B71" s="1" t="s">
        <v>108</v>
      </c>
      <c r="D71" s="88">
        <v>0</v>
      </c>
      <c r="E71" s="88">
        <v>0</v>
      </c>
      <c r="F71" s="88">
        <v>0</v>
      </c>
      <c r="G71" s="1">
        <f t="shared" si="8"/>
        <v>0</v>
      </c>
      <c r="I71" s="6">
        <f t="shared" si="13"/>
        <v>0</v>
      </c>
      <c r="J71" s="7">
        <f>IFR!AD71</f>
        <v>0</v>
      </c>
      <c r="K71" s="8">
        <f t="shared" si="9"/>
        <v>0.95</v>
      </c>
      <c r="L71" s="6">
        <f t="shared" si="14"/>
        <v>0</v>
      </c>
      <c r="M71" s="8">
        <v>1</v>
      </c>
      <c r="N71" s="8">
        <v>1</v>
      </c>
      <c r="P71" s="6">
        <f t="shared" si="15"/>
        <v>0</v>
      </c>
      <c r="R71" s="9">
        <f t="shared" si="10"/>
        <v>0</v>
      </c>
      <c r="T71" s="10">
        <f>+R71*([1]assessment!$J$272*[1]assessment!$E$3)</f>
        <v>0</v>
      </c>
      <c r="V71" s="7">
        <f>+T71/[1]payroll!$F71</f>
        <v>0</v>
      </c>
      <c r="X71" s="10">
        <f>IF(V71&lt;$X$2,T71,[1]payroll!$F71*$X$2)</f>
        <v>0</v>
      </c>
      <c r="Z71" s="10">
        <f t="shared" si="11"/>
        <v>0</v>
      </c>
      <c r="AB71" s="1" t="e">
        <f t="shared" si="12"/>
        <v>#DIV/0!</v>
      </c>
    </row>
    <row r="72" spans="1:28">
      <c r="A72" s="1" t="s">
        <v>109</v>
      </c>
      <c r="B72" s="1" t="s">
        <v>556</v>
      </c>
      <c r="D72" s="88">
        <v>0</v>
      </c>
      <c r="E72" s="88">
        <v>0</v>
      </c>
      <c r="F72" s="88">
        <v>0</v>
      </c>
      <c r="G72" s="1">
        <f t="shared" si="8"/>
        <v>0</v>
      </c>
      <c r="I72" s="6">
        <f t="shared" si="13"/>
        <v>0</v>
      </c>
      <c r="J72" s="7">
        <f>IFR!AD72</f>
        <v>0</v>
      </c>
      <c r="K72" s="8">
        <f t="shared" si="9"/>
        <v>0.95</v>
      </c>
      <c r="L72" s="6">
        <f t="shared" si="14"/>
        <v>0</v>
      </c>
      <c r="M72" s="8">
        <v>1</v>
      </c>
      <c r="N72" s="8">
        <v>1</v>
      </c>
      <c r="P72" s="6">
        <f t="shared" si="15"/>
        <v>0</v>
      </c>
      <c r="R72" s="9">
        <f t="shared" si="10"/>
        <v>0</v>
      </c>
      <c r="T72" s="10">
        <f>+R72*([1]assessment!$J$272*[1]assessment!$E$3)</f>
        <v>0</v>
      </c>
      <c r="V72" s="7">
        <f>+T72/[1]payroll!$F72</f>
        <v>0</v>
      </c>
      <c r="X72" s="10">
        <f>IF(V72&lt;$X$2,T72,[1]payroll!$F72*$X$2)</f>
        <v>0</v>
      </c>
      <c r="Z72" s="10">
        <f t="shared" si="11"/>
        <v>0</v>
      </c>
      <c r="AB72" s="1" t="e">
        <f t="shared" si="12"/>
        <v>#DIV/0!</v>
      </c>
    </row>
    <row r="73" spans="1:28">
      <c r="A73" s="1" t="s">
        <v>110</v>
      </c>
      <c r="B73" s="1" t="s">
        <v>111</v>
      </c>
      <c r="D73" s="88">
        <v>0</v>
      </c>
      <c r="E73" s="88">
        <v>0</v>
      </c>
      <c r="F73" s="88">
        <v>0</v>
      </c>
      <c r="G73" s="1">
        <f t="shared" si="8"/>
        <v>0</v>
      </c>
      <c r="I73" s="6">
        <f t="shared" si="13"/>
        <v>0</v>
      </c>
      <c r="J73" s="7">
        <f>IFR!AD73</f>
        <v>0</v>
      </c>
      <c r="K73" s="8">
        <f t="shared" si="9"/>
        <v>0.95</v>
      </c>
      <c r="L73" s="6">
        <f t="shared" si="14"/>
        <v>0</v>
      </c>
      <c r="M73" s="8">
        <v>1</v>
      </c>
      <c r="N73" s="8">
        <v>1</v>
      </c>
      <c r="P73" s="6">
        <f t="shared" si="15"/>
        <v>0</v>
      </c>
      <c r="R73" s="9">
        <f t="shared" si="10"/>
        <v>0</v>
      </c>
      <c r="T73" s="10">
        <f>+R73*([1]assessment!$J$272*[1]assessment!$E$3)</f>
        <v>0</v>
      </c>
      <c r="V73" s="7">
        <f>+T73/[1]payroll!$F73</f>
        <v>0</v>
      </c>
      <c r="X73" s="10">
        <f>IF(V73&lt;$X$2,T73,[1]payroll!$F73*$X$2)</f>
        <v>0</v>
      </c>
      <c r="Z73" s="10">
        <f t="shared" si="11"/>
        <v>0</v>
      </c>
      <c r="AB73" s="1" t="e">
        <f t="shared" si="12"/>
        <v>#DIV/0!</v>
      </c>
    </row>
    <row r="74" spans="1:28">
      <c r="A74" s="1" t="s">
        <v>112</v>
      </c>
      <c r="B74" s="1" t="s">
        <v>113</v>
      </c>
      <c r="D74" s="88">
        <v>0</v>
      </c>
      <c r="E74" s="88">
        <v>0</v>
      </c>
      <c r="F74" s="88">
        <v>0</v>
      </c>
      <c r="G74" s="1">
        <f t="shared" si="8"/>
        <v>0</v>
      </c>
      <c r="I74" s="6">
        <f t="shared" si="13"/>
        <v>0</v>
      </c>
      <c r="J74" s="7">
        <f>IFR!AD74</f>
        <v>0</v>
      </c>
      <c r="K74" s="8">
        <f t="shared" si="9"/>
        <v>0.95</v>
      </c>
      <c r="L74" s="6">
        <f t="shared" si="14"/>
        <v>0</v>
      </c>
      <c r="M74" s="8">
        <v>1</v>
      </c>
      <c r="N74" s="8">
        <v>1</v>
      </c>
      <c r="P74" s="6">
        <f t="shared" si="15"/>
        <v>0</v>
      </c>
      <c r="R74" s="9">
        <f t="shared" si="10"/>
        <v>0</v>
      </c>
      <c r="T74" s="10">
        <f>+R74*([1]assessment!$J$272*[1]assessment!$E$3)</f>
        <v>0</v>
      </c>
      <c r="V74" s="7">
        <f>+T74/[1]payroll!$F74</f>
        <v>0</v>
      </c>
      <c r="X74" s="10">
        <f>IF(V74&lt;$X$2,T74,[1]payroll!$F74*$X$2)</f>
        <v>0</v>
      </c>
      <c r="Z74" s="10">
        <f t="shared" si="11"/>
        <v>0</v>
      </c>
      <c r="AB74" s="1" t="e">
        <f t="shared" si="12"/>
        <v>#DIV/0!</v>
      </c>
    </row>
    <row r="75" spans="1:28">
      <c r="A75" s="1" t="s">
        <v>114</v>
      </c>
      <c r="B75" s="1" t="s">
        <v>115</v>
      </c>
      <c r="D75" s="88">
        <v>0</v>
      </c>
      <c r="E75" s="88">
        <v>0</v>
      </c>
      <c r="F75" s="88">
        <v>1</v>
      </c>
      <c r="G75" s="1">
        <f t="shared" si="8"/>
        <v>1</v>
      </c>
      <c r="I75" s="6">
        <f t="shared" si="13"/>
        <v>0.33333333333333331</v>
      </c>
      <c r="J75" s="7">
        <f>IFR!AD75</f>
        <v>2.1433929911049191E-3</v>
      </c>
      <c r="K75" s="8">
        <f t="shared" si="9"/>
        <v>0.95</v>
      </c>
      <c r="L75" s="6">
        <f t="shared" si="14"/>
        <v>0.31666666666666665</v>
      </c>
      <c r="M75" s="8">
        <v>1</v>
      </c>
      <c r="N75" s="8">
        <v>1</v>
      </c>
      <c r="P75" s="6">
        <f t="shared" si="15"/>
        <v>0.31666666666666665</v>
      </c>
      <c r="R75" s="9">
        <f t="shared" si="10"/>
        <v>5.7253748613856657E-5</v>
      </c>
      <c r="T75" s="10">
        <f>+R75*([1]assessment!$J$272*[1]assessment!$E$3)</f>
        <v>515.51898172701442</v>
      </c>
      <c r="V75" s="7">
        <f>+T75/[1]payroll!$F75</f>
        <v>2.4490698627262582E-5</v>
      </c>
      <c r="X75" s="10">
        <f>IF(V75&lt;$X$2,T75,[1]payroll!$F75*$X$2)</f>
        <v>515.51898172701442</v>
      </c>
      <c r="Z75" s="10">
        <f t="shared" si="11"/>
        <v>0</v>
      </c>
      <c r="AB75" s="1">
        <f t="shared" si="12"/>
        <v>1</v>
      </c>
    </row>
    <row r="76" spans="1:28">
      <c r="A76" s="1" t="s">
        <v>116</v>
      </c>
      <c r="B76" s="1" t="s">
        <v>117</v>
      </c>
      <c r="D76" s="88">
        <v>0</v>
      </c>
      <c r="E76" s="88">
        <v>0</v>
      </c>
      <c r="F76" s="88">
        <v>0</v>
      </c>
      <c r="G76" s="1">
        <f t="shared" si="8"/>
        <v>0</v>
      </c>
      <c r="I76" s="6">
        <f t="shared" si="13"/>
        <v>0</v>
      </c>
      <c r="J76" s="7">
        <f>IFR!AD76</f>
        <v>0</v>
      </c>
      <c r="K76" s="8">
        <f t="shared" si="9"/>
        <v>0.95</v>
      </c>
      <c r="L76" s="6">
        <f t="shared" si="14"/>
        <v>0</v>
      </c>
      <c r="M76" s="8">
        <v>1</v>
      </c>
      <c r="N76" s="8">
        <v>1</v>
      </c>
      <c r="P76" s="6">
        <f t="shared" si="15"/>
        <v>0</v>
      </c>
      <c r="R76" s="9">
        <f t="shared" si="10"/>
        <v>0</v>
      </c>
      <c r="T76" s="10">
        <f>+R76*([1]assessment!$J$272*[1]assessment!$E$3)</f>
        <v>0</v>
      </c>
      <c r="V76" s="7">
        <f>+T76/[1]payroll!$F76</f>
        <v>0</v>
      </c>
      <c r="X76" s="10">
        <f>IF(V76&lt;$X$2,T76,[1]payroll!$F76*$X$2)</f>
        <v>0</v>
      </c>
      <c r="Z76" s="10">
        <f t="shared" si="11"/>
        <v>0</v>
      </c>
      <c r="AB76" s="1" t="e">
        <f t="shared" si="12"/>
        <v>#DIV/0!</v>
      </c>
    </row>
    <row r="77" spans="1:28">
      <c r="A77" s="1" t="s">
        <v>118</v>
      </c>
      <c r="B77" s="1" t="s">
        <v>119</v>
      </c>
      <c r="D77" s="88">
        <v>0</v>
      </c>
      <c r="E77" s="88">
        <v>0</v>
      </c>
      <c r="F77" s="88">
        <v>0</v>
      </c>
      <c r="G77" s="1">
        <f t="shared" si="8"/>
        <v>0</v>
      </c>
      <c r="I77" s="6">
        <f t="shared" si="13"/>
        <v>0</v>
      </c>
      <c r="J77" s="7">
        <f>IFR!AD77</f>
        <v>0</v>
      </c>
      <c r="K77" s="8">
        <f t="shared" si="9"/>
        <v>0.95</v>
      </c>
      <c r="L77" s="6">
        <f t="shared" si="14"/>
        <v>0</v>
      </c>
      <c r="M77" s="8">
        <v>1</v>
      </c>
      <c r="N77" s="8">
        <v>1</v>
      </c>
      <c r="P77" s="6">
        <f t="shared" si="15"/>
        <v>0</v>
      </c>
      <c r="R77" s="9">
        <f t="shared" si="10"/>
        <v>0</v>
      </c>
      <c r="T77" s="10">
        <f>+R77*([1]assessment!$J$272*[1]assessment!$E$3)</f>
        <v>0</v>
      </c>
      <c r="V77" s="7">
        <f>+T77/[1]payroll!$F77</f>
        <v>0</v>
      </c>
      <c r="X77" s="10">
        <f>IF(V77&lt;$X$2,T77,[1]payroll!$F77*$X$2)</f>
        <v>0</v>
      </c>
      <c r="Z77" s="10">
        <f t="shared" si="11"/>
        <v>0</v>
      </c>
      <c r="AB77" s="1" t="e">
        <f t="shared" si="12"/>
        <v>#DIV/0!</v>
      </c>
    </row>
    <row r="78" spans="1:28">
      <c r="A78" s="1" t="s">
        <v>120</v>
      </c>
      <c r="B78" s="1" t="s">
        <v>486</v>
      </c>
      <c r="D78" s="88">
        <v>0</v>
      </c>
      <c r="E78" s="88">
        <v>0</v>
      </c>
      <c r="F78" s="88">
        <v>0</v>
      </c>
      <c r="G78" s="1">
        <f t="shared" si="8"/>
        <v>0</v>
      </c>
      <c r="I78" s="6">
        <f t="shared" si="13"/>
        <v>0</v>
      </c>
      <c r="J78" s="7">
        <f>IFR!AD78</f>
        <v>0</v>
      </c>
      <c r="K78" s="8">
        <f t="shared" si="9"/>
        <v>0.95</v>
      </c>
      <c r="L78" s="6">
        <f t="shared" si="14"/>
        <v>0</v>
      </c>
      <c r="M78" s="8">
        <v>1</v>
      </c>
      <c r="N78" s="8">
        <v>1</v>
      </c>
      <c r="P78" s="6">
        <f t="shared" si="15"/>
        <v>0</v>
      </c>
      <c r="R78" s="9">
        <f t="shared" si="10"/>
        <v>0</v>
      </c>
      <c r="T78" s="10">
        <f>+R78*([1]assessment!$J$272*[1]assessment!$E$3)</f>
        <v>0</v>
      </c>
      <c r="V78" s="7">
        <f>+T78/[1]payroll!$F78</f>
        <v>0</v>
      </c>
      <c r="X78" s="10">
        <f>IF(V78&lt;$X$2,T78,[1]payroll!$F78*$X$2)</f>
        <v>0</v>
      </c>
      <c r="Z78" s="10">
        <f t="shared" si="11"/>
        <v>0</v>
      </c>
      <c r="AB78" s="1" t="e">
        <f t="shared" si="12"/>
        <v>#DIV/0!</v>
      </c>
    </row>
    <row r="79" spans="1:28">
      <c r="A79" s="1" t="s">
        <v>121</v>
      </c>
      <c r="B79" s="1" t="s">
        <v>122</v>
      </c>
      <c r="D79" s="88">
        <v>2</v>
      </c>
      <c r="E79" s="88">
        <v>1</v>
      </c>
      <c r="F79" s="88">
        <v>0</v>
      </c>
      <c r="G79" s="1">
        <f t="shared" si="8"/>
        <v>3</v>
      </c>
      <c r="I79" s="6">
        <f t="shared" si="13"/>
        <v>1</v>
      </c>
      <c r="J79" s="7">
        <f>IFR!AD79</f>
        <v>6.5128531024749997E-3</v>
      </c>
      <c r="K79" s="8">
        <f t="shared" si="9"/>
        <v>0.95</v>
      </c>
      <c r="L79" s="6">
        <f t="shared" si="14"/>
        <v>0.95</v>
      </c>
      <c r="M79" s="8">
        <v>1</v>
      </c>
      <c r="N79" s="8">
        <v>1</v>
      </c>
      <c r="P79" s="6">
        <f t="shared" si="15"/>
        <v>0.95</v>
      </c>
      <c r="R79" s="9">
        <f t="shared" si="10"/>
        <v>1.7176124584156996E-4</v>
      </c>
      <c r="T79" s="10">
        <f>+R79*([1]assessment!$J$272*[1]assessment!$E$3)</f>
        <v>1546.5569451810434</v>
      </c>
      <c r="V79" s="7">
        <f>+T79/[1]payroll!$F79</f>
        <v>2.1233367884440776E-4</v>
      </c>
      <c r="X79" s="10">
        <f>IF(V79&lt;$X$2,T79,[1]payroll!$F79*$X$2)</f>
        <v>1546.5569451810434</v>
      </c>
      <c r="Z79" s="10">
        <f t="shared" si="11"/>
        <v>0</v>
      </c>
      <c r="AB79" s="1">
        <f t="shared" si="12"/>
        <v>1</v>
      </c>
    </row>
    <row r="80" spans="1:28">
      <c r="A80" s="1" t="s">
        <v>471</v>
      </c>
      <c r="B80" s="1" t="s">
        <v>520</v>
      </c>
      <c r="D80" s="88">
        <v>0</v>
      </c>
      <c r="E80" s="88">
        <v>0</v>
      </c>
      <c r="F80" s="88">
        <v>0</v>
      </c>
      <c r="G80" s="1">
        <f>SUM(D80:F80)</f>
        <v>0</v>
      </c>
      <c r="I80" s="6">
        <f>AVERAGE(D80:F80)</f>
        <v>0</v>
      </c>
      <c r="J80" s="7">
        <f>IFR!AD80</f>
        <v>0</v>
      </c>
      <c r="K80" s="8">
        <f t="shared" si="9"/>
        <v>0.95</v>
      </c>
      <c r="L80" s="6">
        <f t="shared" si="14"/>
        <v>0</v>
      </c>
      <c r="M80" s="8">
        <v>1</v>
      </c>
      <c r="N80" s="8">
        <v>1</v>
      </c>
      <c r="P80" s="6">
        <f t="shared" si="15"/>
        <v>0</v>
      </c>
      <c r="R80" s="9">
        <f t="shared" si="10"/>
        <v>0</v>
      </c>
      <c r="T80" s="10">
        <f>+R80*([1]assessment!$J$272*[1]assessment!$E$3)</f>
        <v>0</v>
      </c>
      <c r="V80" s="7">
        <f>+T80/[1]payroll!$F80</f>
        <v>0</v>
      </c>
      <c r="X80" s="10">
        <f>IF(V80&lt;$X$2,T80,[1]payroll!$F80*$X$2)</f>
        <v>0</v>
      </c>
      <c r="Z80" s="10">
        <f t="shared" si="11"/>
        <v>0</v>
      </c>
      <c r="AB80" s="1" t="e">
        <f t="shared" si="12"/>
        <v>#DIV/0!</v>
      </c>
    </row>
    <row r="81" spans="1:28">
      <c r="A81" s="1" t="s">
        <v>123</v>
      </c>
      <c r="B81" s="1" t="s">
        <v>481</v>
      </c>
      <c r="D81" s="88">
        <v>1</v>
      </c>
      <c r="E81" s="88">
        <v>0</v>
      </c>
      <c r="F81" s="88">
        <v>2</v>
      </c>
      <c r="G81" s="1">
        <f t="shared" si="8"/>
        <v>3</v>
      </c>
      <c r="I81" s="6">
        <f t="shared" si="13"/>
        <v>1</v>
      </c>
      <c r="J81" s="7">
        <f>IFR!AD81</f>
        <v>5.650826771496296E-3</v>
      </c>
      <c r="K81" s="8">
        <f t="shared" si="9"/>
        <v>0.95</v>
      </c>
      <c r="L81" s="6">
        <f t="shared" si="14"/>
        <v>0.95</v>
      </c>
      <c r="M81" s="8">
        <v>1</v>
      </c>
      <c r="N81" s="8">
        <v>1</v>
      </c>
      <c r="P81" s="6">
        <f t="shared" si="15"/>
        <v>0.95</v>
      </c>
      <c r="R81" s="9">
        <f t="shared" si="10"/>
        <v>1.7176124584156996E-4</v>
      </c>
      <c r="T81" s="10">
        <f>+R81*([1]assessment!$J$272*[1]assessment!$E$3)</f>
        <v>1546.5569451810434</v>
      </c>
      <c r="V81" s="7">
        <f>+T81/[1]payroll!$F81</f>
        <v>1.1639384122082073E-4</v>
      </c>
      <c r="X81" s="10">
        <f>IF(V81&lt;$X$2,T81,[1]payroll!$F81*$X$2)</f>
        <v>1546.5569451810434</v>
      </c>
      <c r="Z81" s="10">
        <f t="shared" si="11"/>
        <v>0</v>
      </c>
      <c r="AB81" s="1">
        <f t="shared" si="12"/>
        <v>1</v>
      </c>
    </row>
    <row r="82" spans="1:28">
      <c r="A82" s="1" t="s">
        <v>124</v>
      </c>
      <c r="B82" s="1" t="s">
        <v>125</v>
      </c>
      <c r="D82" s="88">
        <v>0</v>
      </c>
      <c r="E82" s="88">
        <v>0</v>
      </c>
      <c r="F82" s="88">
        <v>0</v>
      </c>
      <c r="G82" s="1">
        <f t="shared" si="8"/>
        <v>0</v>
      </c>
      <c r="I82" s="6">
        <f t="shared" si="13"/>
        <v>0</v>
      </c>
      <c r="J82" s="7">
        <f>IFR!AD82</f>
        <v>0</v>
      </c>
      <c r="K82" s="8">
        <f t="shared" si="9"/>
        <v>0.95</v>
      </c>
      <c r="L82" s="6">
        <f t="shared" si="14"/>
        <v>0</v>
      </c>
      <c r="M82" s="8">
        <v>1</v>
      </c>
      <c r="N82" s="8">
        <v>1</v>
      </c>
      <c r="P82" s="6">
        <f t="shared" si="15"/>
        <v>0</v>
      </c>
      <c r="R82" s="9">
        <f t="shared" si="10"/>
        <v>0</v>
      </c>
      <c r="T82" s="10">
        <f>+R82*([1]assessment!$J$272*[1]assessment!$E$3)</f>
        <v>0</v>
      </c>
      <c r="V82" s="7">
        <f>+T82/[1]payroll!$F82</f>
        <v>0</v>
      </c>
      <c r="X82" s="10">
        <f>IF(V82&lt;$X$2,T82,[1]payroll!$F82*$X$2)</f>
        <v>0</v>
      </c>
      <c r="Z82" s="10">
        <f t="shared" si="11"/>
        <v>0</v>
      </c>
      <c r="AB82" s="1" t="e">
        <f t="shared" si="12"/>
        <v>#DIV/0!</v>
      </c>
    </row>
    <row r="83" spans="1:28">
      <c r="A83" s="1" t="s">
        <v>126</v>
      </c>
      <c r="B83" s="1" t="s">
        <v>521</v>
      </c>
      <c r="D83" s="88">
        <v>0</v>
      </c>
      <c r="E83" s="88">
        <v>0</v>
      </c>
      <c r="F83" s="88">
        <v>1</v>
      </c>
      <c r="G83" s="1">
        <f t="shared" si="8"/>
        <v>1</v>
      </c>
      <c r="I83" s="6">
        <f t="shared" si="13"/>
        <v>0.33333333333333331</v>
      </c>
      <c r="J83" s="7">
        <f>IFR!AD83</f>
        <v>4.1416442327604063E-3</v>
      </c>
      <c r="K83" s="8">
        <f t="shared" si="9"/>
        <v>0.95</v>
      </c>
      <c r="L83" s="6">
        <f t="shared" si="14"/>
        <v>0.31666666666666665</v>
      </c>
      <c r="M83" s="8">
        <v>1</v>
      </c>
      <c r="N83" s="8">
        <v>1</v>
      </c>
      <c r="P83" s="6">
        <f t="shared" si="15"/>
        <v>0.31666666666666665</v>
      </c>
      <c r="R83" s="9">
        <f t="shared" si="10"/>
        <v>5.7253748613856657E-5</v>
      </c>
      <c r="T83" s="10">
        <f>+R83*([1]assessment!$J$272*[1]assessment!$E$3)</f>
        <v>515.51898172701442</v>
      </c>
      <c r="V83" s="7">
        <f>+T83/[1]payroll!$F83</f>
        <v>6.29558537234622E-5</v>
      </c>
      <c r="X83" s="10">
        <f>IF(V83&lt;$X$2,T83,[1]payroll!$F83*$X$2)</f>
        <v>515.51898172701442</v>
      </c>
      <c r="Z83" s="10">
        <f t="shared" si="11"/>
        <v>0</v>
      </c>
      <c r="AB83" s="1">
        <f t="shared" si="12"/>
        <v>1</v>
      </c>
    </row>
    <row r="84" spans="1:28">
      <c r="A84" s="1" t="s">
        <v>127</v>
      </c>
      <c r="B84" s="1" t="s">
        <v>128</v>
      </c>
      <c r="D84" s="88">
        <v>0</v>
      </c>
      <c r="E84" s="88">
        <v>0</v>
      </c>
      <c r="F84" s="88">
        <v>0</v>
      </c>
      <c r="G84" s="1">
        <f t="shared" si="8"/>
        <v>0</v>
      </c>
      <c r="I84" s="6">
        <f t="shared" si="13"/>
        <v>0</v>
      </c>
      <c r="J84" s="7">
        <f>IFR!AD84</f>
        <v>0</v>
      </c>
      <c r="K84" s="8">
        <f t="shared" si="9"/>
        <v>0.95</v>
      </c>
      <c r="L84" s="6">
        <f t="shared" si="14"/>
        <v>0</v>
      </c>
      <c r="M84" s="8">
        <v>1</v>
      </c>
      <c r="N84" s="8">
        <v>1</v>
      </c>
      <c r="P84" s="6">
        <f t="shared" si="15"/>
        <v>0</v>
      </c>
      <c r="R84" s="9">
        <f t="shared" si="10"/>
        <v>0</v>
      </c>
      <c r="T84" s="10">
        <f>+R84*([1]assessment!$J$272*[1]assessment!$E$3)</f>
        <v>0</v>
      </c>
      <c r="V84" s="7">
        <f>+T84/[1]payroll!$F84</f>
        <v>0</v>
      </c>
      <c r="X84" s="10">
        <f>IF(V84&lt;$X$2,T84,[1]payroll!$F84*$X$2)</f>
        <v>0</v>
      </c>
      <c r="Z84" s="10">
        <f t="shared" si="11"/>
        <v>0</v>
      </c>
      <c r="AB84" s="1" t="e">
        <f t="shared" si="12"/>
        <v>#DIV/0!</v>
      </c>
    </row>
    <row r="85" spans="1:28">
      <c r="A85" s="1" t="s">
        <v>557</v>
      </c>
      <c r="B85" s="1" t="s">
        <v>558</v>
      </c>
      <c r="D85" s="88">
        <v>0</v>
      </c>
      <c r="E85" s="88">
        <v>0</v>
      </c>
      <c r="F85" s="88">
        <v>0</v>
      </c>
      <c r="G85" s="1">
        <f>SUM(D85:F85)</f>
        <v>0</v>
      </c>
      <c r="I85" s="6">
        <f>AVERAGE(D85:F85)</f>
        <v>0</v>
      </c>
      <c r="J85" s="7">
        <f>IFR!AD85</f>
        <v>0</v>
      </c>
      <c r="K85" s="8">
        <f t="shared" si="9"/>
        <v>0.95</v>
      </c>
      <c r="L85" s="6">
        <f>+I85*K85</f>
        <v>0</v>
      </c>
      <c r="M85" s="8">
        <v>1</v>
      </c>
      <c r="N85" s="8">
        <v>1</v>
      </c>
      <c r="P85" s="6">
        <f>+L85*M85*N85</f>
        <v>0</v>
      </c>
      <c r="R85" s="9">
        <f t="shared" si="10"/>
        <v>0</v>
      </c>
      <c r="T85" s="10">
        <f>+R85*([1]assessment!$J$272*[1]assessment!$E$3)</f>
        <v>0</v>
      </c>
      <c r="V85" s="7">
        <f>+T85/[1]payroll!$F85</f>
        <v>0</v>
      </c>
      <c r="X85" s="10">
        <f>IF(V85&lt;$X$2,T85,[1]payroll!$F85*$X$2)</f>
        <v>0</v>
      </c>
      <c r="Z85" s="10">
        <f>+T85-X85</f>
        <v>0</v>
      </c>
      <c r="AB85" s="1" t="e">
        <f>+X85/T85</f>
        <v>#DIV/0!</v>
      </c>
    </row>
    <row r="86" spans="1:28">
      <c r="A86" s="1" t="s">
        <v>129</v>
      </c>
      <c r="B86" s="1" t="s">
        <v>130</v>
      </c>
      <c r="D86" s="88">
        <v>0</v>
      </c>
      <c r="E86" s="88">
        <v>0</v>
      </c>
      <c r="F86" s="88">
        <v>0</v>
      </c>
      <c r="G86" s="1">
        <f t="shared" si="8"/>
        <v>0</v>
      </c>
      <c r="I86" s="6">
        <f t="shared" si="13"/>
        <v>0</v>
      </c>
      <c r="J86" s="7">
        <f>IFR!AD86</f>
        <v>0</v>
      </c>
      <c r="K86" s="8">
        <f t="shared" si="9"/>
        <v>0.95</v>
      </c>
      <c r="L86" s="6">
        <f t="shared" si="14"/>
        <v>0</v>
      </c>
      <c r="M86" s="8">
        <v>1</v>
      </c>
      <c r="N86" s="8">
        <v>1</v>
      </c>
      <c r="P86" s="6">
        <f t="shared" si="15"/>
        <v>0</v>
      </c>
      <c r="R86" s="9">
        <f t="shared" si="10"/>
        <v>0</v>
      </c>
      <c r="T86" s="10">
        <f>+R86*([1]assessment!$J$272*[1]assessment!$E$3)</f>
        <v>0</v>
      </c>
      <c r="V86" s="7">
        <f>+T86/[1]payroll!$F86</f>
        <v>0</v>
      </c>
      <c r="X86" s="10">
        <f>IF(V86&lt;$X$2,T86,[1]payroll!$F86*$X$2)</f>
        <v>0</v>
      </c>
      <c r="Z86" s="10">
        <f t="shared" si="11"/>
        <v>0</v>
      </c>
      <c r="AB86" s="1" t="e">
        <f t="shared" si="12"/>
        <v>#DIV/0!</v>
      </c>
    </row>
    <row r="87" spans="1:28">
      <c r="A87" s="1" t="s">
        <v>131</v>
      </c>
      <c r="B87" s="1" t="s">
        <v>132</v>
      </c>
      <c r="D87" s="88">
        <v>0</v>
      </c>
      <c r="E87" s="88">
        <v>0</v>
      </c>
      <c r="F87" s="88">
        <v>0</v>
      </c>
      <c r="G87" s="1">
        <f t="shared" si="8"/>
        <v>0</v>
      </c>
      <c r="I87" s="6">
        <f t="shared" si="13"/>
        <v>0</v>
      </c>
      <c r="J87" s="7">
        <f>IFR!AD87</f>
        <v>0</v>
      </c>
      <c r="K87" s="8">
        <f t="shared" si="9"/>
        <v>0.95</v>
      </c>
      <c r="L87" s="6">
        <f t="shared" si="14"/>
        <v>0</v>
      </c>
      <c r="M87" s="8">
        <v>1</v>
      </c>
      <c r="N87" s="8">
        <v>1</v>
      </c>
      <c r="P87" s="6">
        <f t="shared" si="15"/>
        <v>0</v>
      </c>
      <c r="R87" s="9">
        <f t="shared" si="10"/>
        <v>0</v>
      </c>
      <c r="T87" s="10">
        <f>+R87*([1]assessment!$J$272*[1]assessment!$E$3)</f>
        <v>0</v>
      </c>
      <c r="V87" s="7">
        <f>+T87/[1]payroll!$F87</f>
        <v>0</v>
      </c>
      <c r="X87" s="10">
        <f>IF(V87&lt;$X$2,T87,[1]payroll!$F87*$X$2)</f>
        <v>0</v>
      </c>
      <c r="Z87" s="10">
        <f t="shared" si="11"/>
        <v>0</v>
      </c>
      <c r="AB87" s="1" t="e">
        <f t="shared" si="12"/>
        <v>#DIV/0!</v>
      </c>
    </row>
    <row r="88" spans="1:28">
      <c r="A88" s="1" t="s">
        <v>133</v>
      </c>
      <c r="B88" s="1" t="s">
        <v>134</v>
      </c>
      <c r="D88" s="88">
        <v>0</v>
      </c>
      <c r="E88" s="88">
        <v>3</v>
      </c>
      <c r="F88" s="88">
        <v>0</v>
      </c>
      <c r="G88" s="1">
        <f t="shared" si="8"/>
        <v>3</v>
      </c>
      <c r="I88" s="6">
        <f t="shared" si="13"/>
        <v>1</v>
      </c>
      <c r="J88" s="7">
        <f>IFR!AD88</f>
        <v>0.01</v>
      </c>
      <c r="K88" s="8">
        <f t="shared" si="9"/>
        <v>0.95</v>
      </c>
      <c r="L88" s="6">
        <f t="shared" si="14"/>
        <v>0.95</v>
      </c>
      <c r="M88" s="8">
        <v>1</v>
      </c>
      <c r="N88" s="8">
        <v>1</v>
      </c>
      <c r="P88" s="6">
        <f t="shared" si="15"/>
        <v>0.95</v>
      </c>
      <c r="R88" s="9">
        <f t="shared" si="10"/>
        <v>1.7176124584156996E-4</v>
      </c>
      <c r="T88" s="10">
        <f>+R88*([1]assessment!$J$272*[1]assessment!$E$3)</f>
        <v>1546.5569451810434</v>
      </c>
      <c r="V88" s="7">
        <f>+T88/[1]payroll!$F88</f>
        <v>2.3900234349553495E-4</v>
      </c>
      <c r="X88" s="10">
        <f>IF(V88&lt;$X$2,T88,[1]payroll!$F88*$X$2)</f>
        <v>1546.5569451810434</v>
      </c>
      <c r="Z88" s="10">
        <f t="shared" si="11"/>
        <v>0</v>
      </c>
      <c r="AB88" s="1">
        <f t="shared" si="12"/>
        <v>1</v>
      </c>
    </row>
    <row r="89" spans="1:28">
      <c r="A89" s="1" t="s">
        <v>135</v>
      </c>
      <c r="B89" s="1" t="s">
        <v>136</v>
      </c>
      <c r="D89" s="88">
        <v>1470</v>
      </c>
      <c r="E89" s="88">
        <f>1624+10</f>
        <v>1634</v>
      </c>
      <c r="F89" s="88">
        <v>2073</v>
      </c>
      <c r="G89" s="1">
        <f>SUM(D89:F89)</f>
        <v>5177</v>
      </c>
      <c r="I89" s="6">
        <f>AVERAGE(D89:F89)</f>
        <v>1725.6666666666667</v>
      </c>
      <c r="J89" s="7">
        <f>IFR!AD89</f>
        <v>5.1701087341311132E-2</v>
      </c>
      <c r="K89" s="8">
        <f t="shared" si="9"/>
        <v>1</v>
      </c>
      <c r="L89" s="6">
        <f t="shared" si="14"/>
        <v>1725.6666666666667</v>
      </c>
      <c r="M89" s="8">
        <v>1</v>
      </c>
      <c r="N89" s="8">
        <v>1</v>
      </c>
      <c r="P89" s="6">
        <f>+L89*M89*N89</f>
        <v>1725.6666666666667</v>
      </c>
      <c r="R89" s="9">
        <f t="shared" si="10"/>
        <v>0.31200279639361678</v>
      </c>
      <c r="T89" s="10">
        <f>+R89*([1]assessment!$J$272*[1]assessment!$E$3)</f>
        <v>2809307.1246323725</v>
      </c>
      <c r="V89" s="7">
        <f>+T89/[1]payroll!$F89</f>
        <v>1.4453671859084051E-3</v>
      </c>
      <c r="X89" s="10">
        <f>IF(V89&lt;$X$2,T89,[1]payroll!$F89*$X$2)</f>
        <v>2809307.1246323725</v>
      </c>
      <c r="Z89" s="10">
        <f t="shared" si="11"/>
        <v>0</v>
      </c>
      <c r="AB89" s="1">
        <f t="shared" si="12"/>
        <v>1</v>
      </c>
    </row>
    <row r="90" spans="1:28">
      <c r="A90" s="1" t="s">
        <v>137</v>
      </c>
      <c r="B90" s="1" t="s">
        <v>474</v>
      </c>
      <c r="D90" s="88">
        <f>230+2</f>
        <v>232</v>
      </c>
      <c r="E90" s="88">
        <f>251+1</f>
        <v>252</v>
      </c>
      <c r="F90" s="88">
        <v>219</v>
      </c>
      <c r="G90" s="1">
        <f>SUM(D90:F90)</f>
        <v>703</v>
      </c>
      <c r="I90" s="6">
        <f>AVERAGE(D90:F90)</f>
        <v>234.33333333333334</v>
      </c>
      <c r="J90" s="7">
        <f>IFR!AD90</f>
        <v>1.9498552818139388E-2</v>
      </c>
      <c r="K90" s="8">
        <f t="shared" si="9"/>
        <v>0.95</v>
      </c>
      <c r="L90" s="6">
        <f t="shared" si="14"/>
        <v>222.61666666666667</v>
      </c>
      <c r="M90" s="8">
        <v>1</v>
      </c>
      <c r="N90" s="8">
        <v>1</v>
      </c>
      <c r="P90" s="6">
        <f t="shared" si="15"/>
        <v>222.61666666666667</v>
      </c>
      <c r="R90" s="9">
        <f t="shared" si="10"/>
        <v>4.0249385275541234E-2</v>
      </c>
      <c r="T90" s="10">
        <f>+R90*([1]assessment!$J$272*[1]assessment!$E$3)</f>
        <v>362409.8441540912</v>
      </c>
      <c r="V90" s="7">
        <f>+T90/[1]payroll!$F90</f>
        <v>5.4783775999715453E-4</v>
      </c>
      <c r="X90" s="10">
        <f>IF(V90&lt;$X$2,T90,[1]payroll!$F90*$X$2)</f>
        <v>362409.8441540912</v>
      </c>
      <c r="Z90" s="10">
        <f t="shared" si="11"/>
        <v>0</v>
      </c>
      <c r="AB90" s="1">
        <f t="shared" si="12"/>
        <v>1</v>
      </c>
    </row>
    <row r="91" spans="1:28">
      <c r="A91" s="1" t="s">
        <v>138</v>
      </c>
      <c r="B91" s="1" t="s">
        <v>139</v>
      </c>
      <c r="D91" s="88">
        <v>0</v>
      </c>
      <c r="E91" s="88">
        <v>0</v>
      </c>
      <c r="F91" s="88">
        <v>0</v>
      </c>
      <c r="G91" s="1">
        <f>SUM(D91:F91)</f>
        <v>0</v>
      </c>
      <c r="I91" s="6">
        <f>AVERAGE(D91:F91)</f>
        <v>0</v>
      </c>
      <c r="J91" s="7">
        <f>IFR!AD91</f>
        <v>0</v>
      </c>
      <c r="K91" s="8">
        <f t="shared" si="9"/>
        <v>0.95</v>
      </c>
      <c r="L91" s="6">
        <f t="shared" si="14"/>
        <v>0</v>
      </c>
      <c r="M91" s="8">
        <v>1</v>
      </c>
      <c r="N91" s="8">
        <v>1</v>
      </c>
      <c r="P91" s="6">
        <f t="shared" si="15"/>
        <v>0</v>
      </c>
      <c r="R91" s="9">
        <f t="shared" si="10"/>
        <v>0</v>
      </c>
      <c r="T91" s="10">
        <f>+R91*([1]assessment!$J$272*[1]assessment!$E$3)</f>
        <v>0</v>
      </c>
      <c r="V91" s="7">
        <f>+T91/[1]payroll!$F91</f>
        <v>0</v>
      </c>
      <c r="X91" s="10">
        <f>IF(V91&lt;$X$2,T91,[1]payroll!$F91*$X$2)</f>
        <v>0</v>
      </c>
      <c r="Z91" s="10">
        <f t="shared" si="11"/>
        <v>0</v>
      </c>
      <c r="AB91" s="1" t="e">
        <f t="shared" si="12"/>
        <v>#DIV/0!</v>
      </c>
    </row>
    <row r="92" spans="1:28">
      <c r="A92" s="1" t="s">
        <v>473</v>
      </c>
      <c r="B92" s="1" t="s">
        <v>477</v>
      </c>
      <c r="D92" s="88">
        <f>25+1</f>
        <v>26</v>
      </c>
      <c r="E92" s="88">
        <v>25</v>
      </c>
      <c r="F92" s="88">
        <v>32</v>
      </c>
      <c r="G92" s="1">
        <f>SUM(D92:F92)</f>
        <v>83</v>
      </c>
      <c r="I92" s="6">
        <f>AVERAGE(D92:F92)</f>
        <v>27.666666666666668</v>
      </c>
      <c r="J92" s="7">
        <f>IFR!AD92</f>
        <v>7.9209947545966549E-3</v>
      </c>
      <c r="K92" s="8">
        <f t="shared" si="9"/>
        <v>0.95</v>
      </c>
      <c r="L92" s="6">
        <f t="shared" si="14"/>
        <v>26.283333333333335</v>
      </c>
      <c r="M92" s="8">
        <v>1</v>
      </c>
      <c r="N92" s="8">
        <v>1</v>
      </c>
      <c r="P92" s="6">
        <f t="shared" si="15"/>
        <v>26.283333333333335</v>
      </c>
      <c r="R92" s="9">
        <f t="shared" si="10"/>
        <v>4.7520611349501033E-3</v>
      </c>
      <c r="T92" s="10">
        <f>+R92*([1]assessment!$J$272*[1]assessment!$E$3)</f>
        <v>42788.075483342211</v>
      </c>
      <c r="V92" s="7">
        <f>+T92/[1]payroll!$F92</f>
        <v>1.8950010906138622E-4</v>
      </c>
      <c r="X92" s="10">
        <f>IF(V92&lt;$X$2,T92,[1]payroll!$F92*$X$2)</f>
        <v>42788.075483342211</v>
      </c>
      <c r="Z92" s="10">
        <f t="shared" si="11"/>
        <v>0</v>
      </c>
      <c r="AB92" s="1">
        <f t="shared" si="12"/>
        <v>1</v>
      </c>
    </row>
    <row r="93" spans="1:28">
      <c r="A93" s="1" t="s">
        <v>493</v>
      </c>
      <c r="B93" s="1" t="s">
        <v>531</v>
      </c>
      <c r="D93" s="88">
        <v>0</v>
      </c>
      <c r="E93" s="88">
        <v>0</v>
      </c>
      <c r="F93" s="88">
        <v>0</v>
      </c>
      <c r="G93" s="1">
        <f>SUM(D93:F93)</f>
        <v>0</v>
      </c>
      <c r="I93" s="6">
        <f>AVERAGE(D93:F93)</f>
        <v>0</v>
      </c>
      <c r="J93" s="7">
        <f>IFR!AD93</f>
        <v>0</v>
      </c>
      <c r="K93" s="8">
        <f t="shared" si="9"/>
        <v>0.95</v>
      </c>
      <c r="L93" s="6">
        <f t="shared" si="14"/>
        <v>0</v>
      </c>
      <c r="M93" s="8">
        <v>1</v>
      </c>
      <c r="N93" s="8">
        <v>1</v>
      </c>
      <c r="P93" s="6">
        <f t="shared" si="15"/>
        <v>0</v>
      </c>
      <c r="R93" s="9">
        <f t="shared" si="10"/>
        <v>0</v>
      </c>
      <c r="T93" s="10">
        <f>+R93*([1]assessment!$J$272*[1]assessment!$E$3)</f>
        <v>0</v>
      </c>
      <c r="V93" s="7">
        <f>+T93/[1]payroll!$F93</f>
        <v>0</v>
      </c>
      <c r="X93" s="10">
        <f>IF(V93&lt;$X$2,T93,[1]payroll!$F93*$X$2)</f>
        <v>0</v>
      </c>
      <c r="Z93" s="10">
        <f t="shared" si="11"/>
        <v>0</v>
      </c>
      <c r="AB93" s="1" t="e">
        <f t="shared" si="12"/>
        <v>#DIV/0!</v>
      </c>
    </row>
    <row r="94" spans="1:28">
      <c r="A94" s="1" t="s">
        <v>140</v>
      </c>
      <c r="B94" s="1" t="s">
        <v>141</v>
      </c>
      <c r="D94" s="88">
        <f>14+1</f>
        <v>15</v>
      </c>
      <c r="E94" s="88">
        <v>3</v>
      </c>
      <c r="F94" s="88">
        <v>17</v>
      </c>
      <c r="G94" s="1">
        <f t="shared" si="8"/>
        <v>35</v>
      </c>
      <c r="I94" s="6">
        <f t="shared" si="13"/>
        <v>11.666666666666666</v>
      </c>
      <c r="J94" s="7">
        <f>IFR!AD94</f>
        <v>1.9318784175084945E-2</v>
      </c>
      <c r="K94" s="8">
        <f t="shared" si="9"/>
        <v>0.95</v>
      </c>
      <c r="L94" s="6">
        <f t="shared" si="14"/>
        <v>11.083333333333332</v>
      </c>
      <c r="M94" s="8">
        <v>1</v>
      </c>
      <c r="N94" s="8">
        <v>1</v>
      </c>
      <c r="P94" s="6">
        <f t="shared" si="15"/>
        <v>11.083333333333332</v>
      </c>
      <c r="R94" s="9">
        <f t="shared" si="10"/>
        <v>2.0038812014849827E-3</v>
      </c>
      <c r="T94" s="10">
        <f>+R94*([1]assessment!$J$272*[1]assessment!$E$3)</f>
        <v>18043.164360445502</v>
      </c>
      <c r="V94" s="7">
        <f>+T94/[1]payroll!$F94</f>
        <v>4.3682473388061772E-4</v>
      </c>
      <c r="X94" s="10">
        <f>IF(V94&lt;$X$2,T94,[1]payroll!$F94*$X$2)</f>
        <v>18043.164360445502</v>
      </c>
      <c r="Z94" s="10">
        <f t="shared" si="11"/>
        <v>0</v>
      </c>
      <c r="AB94" s="1">
        <f t="shared" si="12"/>
        <v>1</v>
      </c>
    </row>
    <row r="95" spans="1:28">
      <c r="A95" s="1" t="s">
        <v>142</v>
      </c>
      <c r="B95" s="1" t="s">
        <v>143</v>
      </c>
      <c r="D95" s="88">
        <f>5+1</f>
        <v>6</v>
      </c>
      <c r="E95" s="88">
        <v>9</v>
      </c>
      <c r="F95" s="88">
        <v>7</v>
      </c>
      <c r="G95" s="1">
        <f t="shared" si="8"/>
        <v>22</v>
      </c>
      <c r="I95" s="6">
        <f t="shared" si="13"/>
        <v>7.333333333333333</v>
      </c>
      <c r="J95" s="7">
        <f>IFR!AD95</f>
        <v>4.1574719619894528E-2</v>
      </c>
      <c r="K95" s="8">
        <f t="shared" si="9"/>
        <v>1</v>
      </c>
      <c r="L95" s="6">
        <f t="shared" si="14"/>
        <v>7.333333333333333</v>
      </c>
      <c r="M95" s="8">
        <v>1</v>
      </c>
      <c r="N95" s="8">
        <v>1</v>
      </c>
      <c r="P95" s="6">
        <f t="shared" si="15"/>
        <v>7.333333333333333</v>
      </c>
      <c r="R95" s="9">
        <f t="shared" si="10"/>
        <v>1.325876283689312E-3</v>
      </c>
      <c r="T95" s="10">
        <f>+R95*([1]assessment!$J$272*[1]assessment!$E$3)</f>
        <v>11938.33431367823</v>
      </c>
      <c r="V95" s="7">
        <f>+T95/[1]payroll!$F95</f>
        <v>1.0920665546582037E-3</v>
      </c>
      <c r="X95" s="10">
        <f>IF(V95&lt;$X$2,T95,[1]payroll!$F95*$X$2)</f>
        <v>11938.33431367823</v>
      </c>
      <c r="Z95" s="10">
        <f t="shared" si="11"/>
        <v>0</v>
      </c>
      <c r="AB95" s="1">
        <f t="shared" si="12"/>
        <v>1</v>
      </c>
    </row>
    <row r="96" spans="1:28">
      <c r="A96" s="1" t="s">
        <v>144</v>
      </c>
      <c r="B96" s="1" t="s">
        <v>145</v>
      </c>
      <c r="D96" s="88">
        <v>0</v>
      </c>
      <c r="E96" s="88">
        <v>0</v>
      </c>
      <c r="F96" s="88">
        <v>0</v>
      </c>
      <c r="G96" s="1">
        <f t="shared" si="8"/>
        <v>0</v>
      </c>
      <c r="I96" s="6">
        <f t="shared" si="13"/>
        <v>0</v>
      </c>
      <c r="J96" s="7">
        <f>IFR!AD96</f>
        <v>0</v>
      </c>
      <c r="K96" s="8">
        <f t="shared" si="9"/>
        <v>0.95</v>
      </c>
      <c r="L96" s="6">
        <f t="shared" si="14"/>
        <v>0</v>
      </c>
      <c r="M96" s="8">
        <v>1</v>
      </c>
      <c r="N96" s="8">
        <v>1</v>
      </c>
      <c r="P96" s="6">
        <f t="shared" si="15"/>
        <v>0</v>
      </c>
      <c r="R96" s="9">
        <f t="shared" si="10"/>
        <v>0</v>
      </c>
      <c r="T96" s="10">
        <f>+R96*([1]assessment!$J$272*[1]assessment!$E$3)</f>
        <v>0</v>
      </c>
      <c r="V96" s="7">
        <f>+T96/[1]payroll!$F96</f>
        <v>0</v>
      </c>
      <c r="X96" s="10">
        <f>IF(V96&lt;$X$2,T96,[1]payroll!$F96*$X$2)</f>
        <v>0</v>
      </c>
      <c r="Z96" s="10">
        <f t="shared" si="11"/>
        <v>0</v>
      </c>
      <c r="AB96" s="1" t="e">
        <f t="shared" si="12"/>
        <v>#DIV/0!</v>
      </c>
    </row>
    <row r="97" spans="1:28">
      <c r="A97" s="1" t="s">
        <v>146</v>
      </c>
      <c r="B97" s="1" t="s">
        <v>147</v>
      </c>
      <c r="D97" s="88">
        <v>0</v>
      </c>
      <c r="E97" s="88">
        <v>1</v>
      </c>
      <c r="F97" s="88">
        <v>1</v>
      </c>
      <c r="G97" s="1">
        <f t="shared" si="8"/>
        <v>2</v>
      </c>
      <c r="I97" s="6">
        <f t="shared" si="13"/>
        <v>0.66666666666666663</v>
      </c>
      <c r="J97" s="7">
        <f>IFR!AD97</f>
        <v>2.0186339422149755E-3</v>
      </c>
      <c r="K97" s="8">
        <f t="shared" si="9"/>
        <v>0.95</v>
      </c>
      <c r="L97" s="6">
        <f t="shared" si="14"/>
        <v>0.6333333333333333</v>
      </c>
      <c r="M97" s="8">
        <v>1</v>
      </c>
      <c r="N97" s="8">
        <v>1</v>
      </c>
      <c r="P97" s="6">
        <f t="shared" si="15"/>
        <v>0.6333333333333333</v>
      </c>
      <c r="R97" s="9">
        <f t="shared" si="10"/>
        <v>1.1450749722771331E-4</v>
      </c>
      <c r="T97" s="10">
        <f>+R97*([1]assessment!$J$272*[1]assessment!$E$3)</f>
        <v>1031.0379634540288</v>
      </c>
      <c r="V97" s="7">
        <f>+T97/[1]payroll!$F97</f>
        <v>3.1439585859664677E-5</v>
      </c>
      <c r="X97" s="10">
        <f>IF(V97&lt;$X$2,T97,[1]payroll!$F97*$X$2)</f>
        <v>1031.0379634540288</v>
      </c>
      <c r="Z97" s="10">
        <f t="shared" si="11"/>
        <v>0</v>
      </c>
      <c r="AB97" s="1">
        <f t="shared" si="12"/>
        <v>1</v>
      </c>
    </row>
    <row r="98" spans="1:28">
      <c r="A98" s="1" t="s">
        <v>148</v>
      </c>
      <c r="B98" s="1" t="s">
        <v>468</v>
      </c>
      <c r="D98" s="88">
        <v>5</v>
      </c>
      <c r="E98" s="88">
        <v>7</v>
      </c>
      <c r="F98" s="88">
        <v>19</v>
      </c>
      <c r="G98" s="1">
        <f t="shared" si="8"/>
        <v>31</v>
      </c>
      <c r="I98" s="6">
        <f t="shared" si="13"/>
        <v>10.333333333333334</v>
      </c>
      <c r="J98" s="7">
        <f>IFR!AD98</f>
        <v>4.5327323003663787E-3</v>
      </c>
      <c r="K98" s="8">
        <f t="shared" si="9"/>
        <v>0.95</v>
      </c>
      <c r="L98" s="6">
        <f t="shared" si="14"/>
        <v>9.8166666666666664</v>
      </c>
      <c r="M98" s="8">
        <v>1</v>
      </c>
      <c r="N98" s="8">
        <v>1</v>
      </c>
      <c r="P98" s="6">
        <f t="shared" si="15"/>
        <v>9.8166666666666664</v>
      </c>
      <c r="R98" s="9">
        <f t="shared" si="10"/>
        <v>1.7748662070295564E-3</v>
      </c>
      <c r="T98" s="10">
        <f>+R98*([1]assessment!$J$272*[1]assessment!$E$3)</f>
        <v>15981.088433537449</v>
      </c>
      <c r="V98" s="7">
        <f>+T98/[1]payroll!$F98</f>
        <v>8.3663049294959555E-5</v>
      </c>
      <c r="X98" s="10">
        <f>IF(V98&lt;$X$2,T98,[1]payroll!$F98*$X$2)</f>
        <v>15981.088433537449</v>
      </c>
      <c r="Z98" s="10">
        <f t="shared" si="11"/>
        <v>0</v>
      </c>
      <c r="AB98" s="1">
        <f t="shared" si="12"/>
        <v>1</v>
      </c>
    </row>
    <row r="99" spans="1:28">
      <c r="A99" s="1" t="s">
        <v>149</v>
      </c>
      <c r="B99" s="1" t="s">
        <v>522</v>
      </c>
      <c r="D99" s="88">
        <v>0</v>
      </c>
      <c r="E99" s="88">
        <v>0</v>
      </c>
      <c r="F99" s="88">
        <v>0</v>
      </c>
      <c r="G99" s="1">
        <f>SUM(D99:F99)</f>
        <v>0</v>
      </c>
      <c r="I99" s="6">
        <f>AVERAGE(D99:F99)</f>
        <v>0</v>
      </c>
      <c r="J99" s="7">
        <f>IFR!AD99</f>
        <v>0</v>
      </c>
      <c r="K99" s="8">
        <f t="shared" si="9"/>
        <v>0.95</v>
      </c>
      <c r="L99" s="6">
        <f t="shared" si="14"/>
        <v>0</v>
      </c>
      <c r="M99" s="8">
        <v>1</v>
      </c>
      <c r="N99" s="8">
        <v>1</v>
      </c>
      <c r="P99" s="6">
        <f t="shared" si="15"/>
        <v>0</v>
      </c>
      <c r="R99" s="9">
        <f t="shared" si="10"/>
        <v>0</v>
      </c>
      <c r="T99" s="10">
        <f>+R99*([1]assessment!$J$272*[1]assessment!$E$3)</f>
        <v>0</v>
      </c>
      <c r="V99" s="7">
        <f>+T99/[1]payroll!$F99</f>
        <v>0</v>
      </c>
      <c r="X99" s="10">
        <f>IF(V99&lt;$X$2,T99,[1]payroll!$F99*$X$2)</f>
        <v>0</v>
      </c>
      <c r="Z99" s="10">
        <f t="shared" si="11"/>
        <v>0</v>
      </c>
      <c r="AB99" s="1" t="e">
        <f t="shared" si="12"/>
        <v>#DIV/0!</v>
      </c>
    </row>
    <row r="100" spans="1:28">
      <c r="A100" s="1" t="s">
        <v>496</v>
      </c>
      <c r="B100" s="1" t="s">
        <v>497</v>
      </c>
      <c r="D100" s="88">
        <v>5</v>
      </c>
      <c r="E100" s="88">
        <v>5</v>
      </c>
      <c r="F100" s="88">
        <v>1</v>
      </c>
      <c r="G100" s="1">
        <f>SUM(D100:F100)</f>
        <v>11</v>
      </c>
      <c r="I100" s="6">
        <f>AVERAGE(D100:F100)</f>
        <v>3.6666666666666665</v>
      </c>
      <c r="J100" s="7">
        <f>IFR!AD100</f>
        <v>4.0850634809865205E-3</v>
      </c>
      <c r="K100" s="8">
        <f t="shared" si="9"/>
        <v>0.95</v>
      </c>
      <c r="L100" s="6">
        <f t="shared" si="14"/>
        <v>3.4833333333333329</v>
      </c>
      <c r="M100" s="8">
        <v>1</v>
      </c>
      <c r="N100" s="8">
        <v>1</v>
      </c>
      <c r="P100" s="6">
        <f t="shared" si="15"/>
        <v>3.4833333333333329</v>
      </c>
      <c r="R100" s="9">
        <f t="shared" si="10"/>
        <v>6.2979123475242322E-4</v>
      </c>
      <c r="T100" s="10">
        <f>+R100*([1]assessment!$J$272*[1]assessment!$E$3)</f>
        <v>5670.7087989971587</v>
      </c>
      <c r="V100" s="7">
        <f>+T100/[1]payroll!$F100</f>
        <v>1.1761805135916995E-4</v>
      </c>
      <c r="X100" s="10">
        <f>IF(V100&lt;$X$2,T100,[1]payroll!$F100*$X$2)</f>
        <v>5670.7087989971587</v>
      </c>
      <c r="Z100" s="10">
        <f t="shared" si="11"/>
        <v>0</v>
      </c>
      <c r="AB100" s="1">
        <f t="shared" si="12"/>
        <v>1</v>
      </c>
    </row>
    <row r="101" spans="1:28">
      <c r="A101" s="1" t="s">
        <v>536</v>
      </c>
      <c r="B101" s="1" t="s">
        <v>537</v>
      </c>
      <c r="D101" s="88">
        <v>220</v>
      </c>
      <c r="E101" s="88">
        <f>278+3</f>
        <v>281</v>
      </c>
      <c r="F101" s="88">
        <v>351</v>
      </c>
      <c r="G101" s="1">
        <f t="shared" ref="G101:G139" si="16">SUM(D101:F101)</f>
        <v>852</v>
      </c>
      <c r="I101" s="6">
        <f t="shared" ref="I101:I139" si="17">AVERAGE(D101:F101)</f>
        <v>284</v>
      </c>
      <c r="J101" s="7">
        <f>IFR!AD101</f>
        <v>0.15393453019278247</v>
      </c>
      <c r="K101" s="8">
        <f t="shared" si="9"/>
        <v>1.05</v>
      </c>
      <c r="L101" s="6">
        <f t="shared" si="14"/>
        <v>298.2</v>
      </c>
      <c r="M101" s="8">
        <v>1</v>
      </c>
      <c r="N101" s="8">
        <v>1</v>
      </c>
      <c r="P101" s="6">
        <f t="shared" si="15"/>
        <v>298.2</v>
      </c>
      <c r="R101" s="9">
        <f t="shared" si="10"/>
        <v>5.3914951063111755E-2</v>
      </c>
      <c r="T101" s="10">
        <f>+R101*([1]assessment!$J$272*[1]assessment!$E$3)</f>
        <v>485456.08531893382</v>
      </c>
      <c r="V101" s="7">
        <f>+T101/[1]payroll!$F101</f>
        <v>4.0549339814761141E-3</v>
      </c>
      <c r="X101" s="10">
        <f>IF(V101&lt;$X$2,T101,[1]payroll!$F101*$X$2)</f>
        <v>485456.08531893382</v>
      </c>
      <c r="Z101" s="10">
        <f t="shared" si="11"/>
        <v>0</v>
      </c>
      <c r="AB101" s="1">
        <f t="shared" si="12"/>
        <v>1</v>
      </c>
    </row>
    <row r="102" spans="1:28">
      <c r="A102" s="1" t="s">
        <v>150</v>
      </c>
      <c r="B102" s="1" t="s">
        <v>151</v>
      </c>
      <c r="D102" s="88">
        <v>2223</v>
      </c>
      <c r="E102" s="88">
        <v>1662</v>
      </c>
      <c r="F102" s="88">
        <v>1717</v>
      </c>
      <c r="G102" s="59">
        <f>SUM(D102:F102)</f>
        <v>5602</v>
      </c>
      <c r="I102" s="6">
        <f>AVERAGE(D102:F102)</f>
        <v>1867.3333333333333</v>
      </c>
      <c r="J102" s="7">
        <f>IFR!AD102</f>
        <v>5.9274374665117646E-2</v>
      </c>
      <c r="K102" s="8">
        <f t="shared" si="9"/>
        <v>1</v>
      </c>
      <c r="L102" s="6">
        <f t="shared" si="14"/>
        <v>1867.3333333333333</v>
      </c>
      <c r="M102" s="8">
        <v>1</v>
      </c>
      <c r="N102" s="8">
        <v>1</v>
      </c>
      <c r="P102" s="6">
        <f t="shared" si="15"/>
        <v>1867.3333333333333</v>
      </c>
      <c r="R102" s="9">
        <f t="shared" si="10"/>
        <v>0.3376163155103421</v>
      </c>
      <c r="T102" s="10">
        <f>+R102*([1]assessment!$J$272*[1]assessment!$E$3)</f>
        <v>3039934.0375102474</v>
      </c>
      <c r="V102" s="7">
        <f>+T102/[1]payroll!$F102</f>
        <v>2.0311581093012355E-3</v>
      </c>
      <c r="X102" s="10">
        <f>IF(V102&lt;$X$2,T102,[1]payroll!$F102*$X$2)</f>
        <v>3039934.0375102474</v>
      </c>
      <c r="Z102" s="10">
        <f t="shared" si="11"/>
        <v>0</v>
      </c>
      <c r="AB102" s="1">
        <f t="shared" si="12"/>
        <v>1</v>
      </c>
    </row>
    <row r="103" spans="1:28">
      <c r="A103" s="1" t="s">
        <v>499</v>
      </c>
      <c r="B103" s="1" t="s">
        <v>498</v>
      </c>
      <c r="D103" s="88">
        <v>9</v>
      </c>
      <c r="E103" s="88">
        <v>6</v>
      </c>
      <c r="F103" s="88">
        <v>1</v>
      </c>
      <c r="G103" s="1">
        <f t="shared" si="16"/>
        <v>16</v>
      </c>
      <c r="I103" s="6">
        <f>AVERAGE(D103:F103)</f>
        <v>5.333333333333333</v>
      </c>
      <c r="J103" s="7">
        <f>IFR!AD103</f>
        <v>4.5115780099505461E-3</v>
      </c>
      <c r="K103" s="8">
        <f t="shared" si="9"/>
        <v>0.95</v>
      </c>
      <c r="L103" s="6">
        <f t="shared" si="14"/>
        <v>5.0666666666666664</v>
      </c>
      <c r="M103" s="8">
        <v>1</v>
      </c>
      <c r="N103" s="8">
        <v>1</v>
      </c>
      <c r="P103" s="6">
        <f t="shared" si="15"/>
        <v>5.0666666666666664</v>
      </c>
      <c r="R103" s="9">
        <f t="shared" si="10"/>
        <v>9.1605997782170652E-4</v>
      </c>
      <c r="T103" s="10">
        <f>+R103*([1]assessment!$J$272*[1]assessment!$E$3)</f>
        <v>8248.3037076322307</v>
      </c>
      <c r="V103" s="7">
        <f>+T103/[1]payroll!$F103</f>
        <v>1.4498184947805932E-4</v>
      </c>
      <c r="X103" s="10">
        <f>IF(V103&lt;$X$2,T103,[1]payroll!$F103*$X$2)</f>
        <v>8248.3037076322307</v>
      </c>
      <c r="Z103" s="10">
        <f t="shared" si="11"/>
        <v>0</v>
      </c>
      <c r="AB103" s="1">
        <f t="shared" si="12"/>
        <v>1</v>
      </c>
    </row>
    <row r="104" spans="1:28">
      <c r="A104" s="1" t="s">
        <v>152</v>
      </c>
      <c r="B104" s="1" t="s">
        <v>153</v>
      </c>
      <c r="D104" s="88">
        <v>0</v>
      </c>
      <c r="E104" s="88">
        <v>3</v>
      </c>
      <c r="F104" s="88">
        <v>1</v>
      </c>
      <c r="G104" s="1">
        <f t="shared" si="16"/>
        <v>4</v>
      </c>
      <c r="I104" s="6">
        <f t="shared" si="17"/>
        <v>1.3333333333333333</v>
      </c>
      <c r="J104" s="7">
        <f>IFR!AD104</f>
        <v>1.3100117666271325E-3</v>
      </c>
      <c r="K104" s="8">
        <f t="shared" si="9"/>
        <v>0.95</v>
      </c>
      <c r="L104" s="6">
        <f t="shared" si="14"/>
        <v>1.2666666666666666</v>
      </c>
      <c r="M104" s="8">
        <v>1</v>
      </c>
      <c r="N104" s="8">
        <v>1</v>
      </c>
      <c r="P104" s="6">
        <f t="shared" si="15"/>
        <v>1.2666666666666666</v>
      </c>
      <c r="R104" s="9">
        <f t="shared" si="10"/>
        <v>2.2901499445542663E-4</v>
      </c>
      <c r="T104" s="10">
        <f>+R104*([1]assessment!$J$272*[1]assessment!$E$3)</f>
        <v>2062.0759269080577</v>
      </c>
      <c r="V104" s="7">
        <f>+T104/[1]payroll!$F104</f>
        <v>1.9047871501903523E-5</v>
      </c>
      <c r="X104" s="10">
        <f>IF(V104&lt;$X$2,T104,[1]payroll!$F104*$X$2)</f>
        <v>2062.0759269080577</v>
      </c>
      <c r="Z104" s="10">
        <f t="shared" si="11"/>
        <v>0</v>
      </c>
      <c r="AB104" s="1">
        <f t="shared" si="12"/>
        <v>1</v>
      </c>
    </row>
    <row r="105" spans="1:28">
      <c r="A105" s="1" t="s">
        <v>565</v>
      </c>
      <c r="B105" s="1" t="s">
        <v>566</v>
      </c>
      <c r="D105" s="88">
        <v>0</v>
      </c>
      <c r="E105" s="88">
        <v>0</v>
      </c>
      <c r="F105" s="88">
        <v>0</v>
      </c>
      <c r="G105" s="1">
        <f t="shared" si="16"/>
        <v>0</v>
      </c>
      <c r="I105" s="6">
        <f t="shared" si="17"/>
        <v>0</v>
      </c>
      <c r="J105" s="7">
        <f>IFR!AD105</f>
        <v>0</v>
      </c>
      <c r="K105" s="8">
        <f t="shared" si="9"/>
        <v>0.95</v>
      </c>
      <c r="L105" s="6">
        <f t="shared" si="14"/>
        <v>0</v>
      </c>
      <c r="M105" s="8">
        <v>1</v>
      </c>
      <c r="N105" s="8"/>
      <c r="P105" s="6">
        <f t="shared" si="15"/>
        <v>0</v>
      </c>
      <c r="R105" s="9">
        <f t="shared" si="10"/>
        <v>0</v>
      </c>
      <c r="T105" s="10">
        <f>+R105*([1]assessment!$J$272*[1]assessment!$E$3)</f>
        <v>0</v>
      </c>
      <c r="V105" s="7">
        <f>+T105/[1]payroll!$F105</f>
        <v>0</v>
      </c>
      <c r="X105" s="10">
        <f>IF(V105&lt;$X$2,T105,[1]payroll!$F105*$X$2)</f>
        <v>0</v>
      </c>
      <c r="Z105" s="10">
        <f t="shared" si="11"/>
        <v>0</v>
      </c>
      <c r="AB105" s="1" t="e">
        <f t="shared" si="12"/>
        <v>#DIV/0!</v>
      </c>
    </row>
    <row r="106" spans="1:28">
      <c r="A106" s="1" t="s">
        <v>154</v>
      </c>
      <c r="B106" s="1" t="s">
        <v>155</v>
      </c>
      <c r="D106" s="88">
        <f>15+2</f>
        <v>17</v>
      </c>
      <c r="E106" s="88">
        <v>16</v>
      </c>
      <c r="F106" s="88">
        <v>8</v>
      </c>
      <c r="G106" s="1">
        <f t="shared" si="16"/>
        <v>41</v>
      </c>
      <c r="I106" s="6">
        <f t="shared" si="17"/>
        <v>13.666666666666666</v>
      </c>
      <c r="J106" s="7">
        <f>IFR!AD106</f>
        <v>1.0975868931009053E-2</v>
      </c>
      <c r="K106" s="8">
        <f t="shared" si="9"/>
        <v>0.95</v>
      </c>
      <c r="L106" s="6">
        <f t="shared" si="14"/>
        <v>12.983333333333333</v>
      </c>
      <c r="M106" s="8">
        <v>1</v>
      </c>
      <c r="N106" s="8">
        <v>1</v>
      </c>
      <c r="P106" s="6">
        <f t="shared" si="15"/>
        <v>12.983333333333333</v>
      </c>
      <c r="R106" s="9">
        <f t="shared" si="10"/>
        <v>2.3474036931681228E-3</v>
      </c>
      <c r="T106" s="10">
        <f>+R106*([1]assessment!$J$272*[1]assessment!$E$3)</f>
        <v>21136.278250807591</v>
      </c>
      <c r="V106" s="7">
        <f>+T106/[1]payroll!$F106</f>
        <v>2.4063339686203734E-4</v>
      </c>
      <c r="X106" s="10">
        <f>IF(V106&lt;$X$2,T106,[1]payroll!$F106*$X$2)</f>
        <v>21136.278250807591</v>
      </c>
      <c r="Z106" s="10">
        <f t="shared" si="11"/>
        <v>0</v>
      </c>
      <c r="AB106" s="1">
        <f t="shared" si="12"/>
        <v>1</v>
      </c>
    </row>
    <row r="107" spans="1:28">
      <c r="A107" s="1" t="s">
        <v>156</v>
      </c>
      <c r="B107" s="1" t="s">
        <v>157</v>
      </c>
      <c r="D107" s="88">
        <v>19</v>
      </c>
      <c r="E107" s="88">
        <v>23</v>
      </c>
      <c r="F107" s="88">
        <v>19</v>
      </c>
      <c r="G107" s="1">
        <f t="shared" si="16"/>
        <v>61</v>
      </c>
      <c r="I107" s="6">
        <f t="shared" si="17"/>
        <v>20.333333333333332</v>
      </c>
      <c r="J107" s="7">
        <f>IFR!AD107</f>
        <v>1.1929426609687569E-2</v>
      </c>
      <c r="K107" s="8">
        <f t="shared" si="9"/>
        <v>0.95</v>
      </c>
      <c r="L107" s="6">
        <f t="shared" si="14"/>
        <v>19.316666666666663</v>
      </c>
      <c r="M107" s="8">
        <v>1</v>
      </c>
      <c r="N107" s="8">
        <v>1</v>
      </c>
      <c r="P107" s="6">
        <f t="shared" si="15"/>
        <v>19.316666666666663</v>
      </c>
      <c r="R107" s="9">
        <f t="shared" si="10"/>
        <v>3.4924786654452556E-3</v>
      </c>
      <c r="T107" s="10">
        <f>+R107*([1]assessment!$J$272*[1]assessment!$E$3)</f>
        <v>31446.657885347879</v>
      </c>
      <c r="V107" s="7">
        <f>+T107/[1]payroll!$F107</f>
        <v>2.7769663112785128E-4</v>
      </c>
      <c r="X107" s="10">
        <f>IF(V107&lt;$X$2,T107,[1]payroll!$F107*$X$2)</f>
        <v>31446.657885347879</v>
      </c>
      <c r="Z107" s="10">
        <f t="shared" si="11"/>
        <v>0</v>
      </c>
      <c r="AB107" s="1">
        <f t="shared" si="12"/>
        <v>1</v>
      </c>
    </row>
    <row r="108" spans="1:28">
      <c r="A108" s="1" t="s">
        <v>158</v>
      </c>
      <c r="B108" s="1" t="s">
        <v>159</v>
      </c>
      <c r="D108" s="88">
        <v>66</v>
      </c>
      <c r="E108" s="88">
        <f>73+1</f>
        <v>74</v>
      </c>
      <c r="F108" s="88">
        <v>80</v>
      </c>
      <c r="G108" s="1">
        <f t="shared" si="16"/>
        <v>220</v>
      </c>
      <c r="I108" s="6">
        <f t="shared" si="17"/>
        <v>73.333333333333329</v>
      </c>
      <c r="J108" s="7">
        <f>IFR!AD108</f>
        <v>1.1249807782083768E-2</v>
      </c>
      <c r="K108" s="8">
        <f t="shared" si="9"/>
        <v>0.95</v>
      </c>
      <c r="L108" s="6">
        <f t="shared" si="14"/>
        <v>69.666666666666657</v>
      </c>
      <c r="M108" s="8">
        <v>1</v>
      </c>
      <c r="N108" s="8">
        <v>1</v>
      </c>
      <c r="P108" s="6">
        <f t="shared" si="15"/>
        <v>69.666666666666657</v>
      </c>
      <c r="R108" s="9">
        <f t="shared" si="10"/>
        <v>1.2595824695048463E-2</v>
      </c>
      <c r="T108" s="10">
        <f>+R108*([1]assessment!$J$272*[1]assessment!$E$3)</f>
        <v>113414.17597994317</v>
      </c>
      <c r="V108" s="7">
        <f>+T108/[1]payroll!$F108</f>
        <v>1.9172998082846453E-4</v>
      </c>
      <c r="X108" s="10">
        <f>IF(V108&lt;$X$2,T108,[1]payroll!$F108*$X$2)</f>
        <v>113414.17597994317</v>
      </c>
      <c r="Z108" s="10">
        <f t="shared" si="11"/>
        <v>0</v>
      </c>
      <c r="AB108" s="1">
        <f t="shared" si="12"/>
        <v>1</v>
      </c>
    </row>
    <row r="109" spans="1:28">
      <c r="A109" s="1" t="s">
        <v>160</v>
      </c>
      <c r="B109" s="1" t="s">
        <v>161</v>
      </c>
      <c r="D109" s="88">
        <f>28+1</f>
        <v>29</v>
      </c>
      <c r="E109" s="88">
        <v>32</v>
      </c>
      <c r="F109" s="88">
        <v>30</v>
      </c>
      <c r="G109" s="1">
        <f t="shared" si="16"/>
        <v>91</v>
      </c>
      <c r="I109" s="6">
        <f t="shared" si="17"/>
        <v>30.333333333333332</v>
      </c>
      <c r="J109" s="7">
        <f>IFR!AD109</f>
        <v>1.6550452986650265E-2</v>
      </c>
      <c r="K109" s="8">
        <f t="shared" si="9"/>
        <v>0.95</v>
      </c>
      <c r="L109" s="6">
        <f t="shared" si="14"/>
        <v>28.816666666666663</v>
      </c>
      <c r="M109" s="8">
        <v>1</v>
      </c>
      <c r="N109" s="8">
        <v>1</v>
      </c>
      <c r="P109" s="6">
        <f t="shared" si="15"/>
        <v>28.816666666666663</v>
      </c>
      <c r="R109" s="9">
        <f t="shared" si="10"/>
        <v>5.2100911238609554E-3</v>
      </c>
      <c r="T109" s="10">
        <f>+R109*([1]assessment!$J$272*[1]assessment!$E$3)</f>
        <v>46912.227337158314</v>
      </c>
      <c r="V109" s="7">
        <f>+T109/[1]payroll!$F109</f>
        <v>3.6041487559515821E-4</v>
      </c>
      <c r="X109" s="10">
        <f>IF(V109&lt;$X$2,T109,[1]payroll!$F109*$X$2)</f>
        <v>46912.227337158314</v>
      </c>
      <c r="Z109" s="10">
        <f t="shared" si="11"/>
        <v>0</v>
      </c>
      <c r="AB109" s="1">
        <f t="shared" si="12"/>
        <v>1</v>
      </c>
    </row>
    <row r="110" spans="1:28">
      <c r="A110" s="1" t="s">
        <v>162</v>
      </c>
      <c r="B110" s="1" t="s">
        <v>163</v>
      </c>
      <c r="D110" s="88">
        <f>96+5</f>
        <v>101</v>
      </c>
      <c r="E110" s="88">
        <f>97+8</f>
        <v>105</v>
      </c>
      <c r="F110" s="88">
        <f>101+9</f>
        <v>110</v>
      </c>
      <c r="G110" s="1">
        <f t="shared" si="16"/>
        <v>316</v>
      </c>
      <c r="I110" s="6">
        <f t="shared" si="17"/>
        <v>105.33333333333333</v>
      </c>
      <c r="J110" s="7">
        <f>IFR!AD110</f>
        <v>1.4396507760879486E-2</v>
      </c>
      <c r="K110" s="8">
        <f t="shared" si="9"/>
        <v>0.95</v>
      </c>
      <c r="L110" s="6">
        <f t="shared" si="14"/>
        <v>100.06666666666666</v>
      </c>
      <c r="M110" s="8">
        <v>1</v>
      </c>
      <c r="N110" s="8">
        <v>1</v>
      </c>
      <c r="P110" s="6">
        <f t="shared" si="15"/>
        <v>100.06666666666666</v>
      </c>
      <c r="R110" s="9">
        <f t="shared" si="10"/>
        <v>1.8092184561978704E-2</v>
      </c>
      <c r="T110" s="10">
        <f>+R110*([1]assessment!$J$272*[1]assessment!$E$3)</f>
        <v>162903.99822573658</v>
      </c>
      <c r="V110" s="7">
        <f>+T110/[1]payroll!$F110</f>
        <v>3.1539017322389121E-4</v>
      </c>
      <c r="X110" s="10">
        <f>IF(V110&lt;$X$2,T110,[1]payroll!$F110*$X$2)</f>
        <v>162903.99822573658</v>
      </c>
      <c r="Z110" s="10">
        <f t="shared" si="11"/>
        <v>0</v>
      </c>
      <c r="AB110" s="1">
        <f t="shared" si="12"/>
        <v>1</v>
      </c>
    </row>
    <row r="111" spans="1:28">
      <c r="A111" s="1" t="s">
        <v>164</v>
      </c>
      <c r="B111" s="1" t="s">
        <v>165</v>
      </c>
      <c r="D111" s="88">
        <v>10</v>
      </c>
      <c r="E111" s="88">
        <v>17</v>
      </c>
      <c r="F111" s="88">
        <v>17</v>
      </c>
      <c r="G111" s="1">
        <f t="shared" si="16"/>
        <v>44</v>
      </c>
      <c r="I111" s="6">
        <f t="shared" si="17"/>
        <v>14.666666666666666</v>
      </c>
      <c r="J111" s="7">
        <f>IFR!AD111</f>
        <v>1.1299116401613815E-2</v>
      </c>
      <c r="K111" s="8">
        <f t="shared" si="9"/>
        <v>0.95</v>
      </c>
      <c r="L111" s="6">
        <f t="shared" si="14"/>
        <v>13.933333333333332</v>
      </c>
      <c r="M111" s="8">
        <v>1</v>
      </c>
      <c r="N111" s="8">
        <v>1</v>
      </c>
      <c r="P111" s="6">
        <f t="shared" si="15"/>
        <v>13.933333333333332</v>
      </c>
      <c r="R111" s="9">
        <f t="shared" si="10"/>
        <v>2.5191649390096929E-3</v>
      </c>
      <c r="T111" s="10">
        <f>+R111*([1]assessment!$J$272*[1]assessment!$E$3)</f>
        <v>22682.835195988635</v>
      </c>
      <c r="V111" s="7">
        <f>+T111/[1]payroll!$F111</f>
        <v>2.3918313768583879E-4</v>
      </c>
      <c r="X111" s="10">
        <f>IF(V111&lt;$X$2,T111,[1]payroll!$F111*$X$2)</f>
        <v>22682.835195988635</v>
      </c>
      <c r="Z111" s="10">
        <f t="shared" si="11"/>
        <v>0</v>
      </c>
      <c r="AB111" s="1">
        <f t="shared" si="12"/>
        <v>1</v>
      </c>
    </row>
    <row r="112" spans="1:28">
      <c r="A112" s="1" t="s">
        <v>166</v>
      </c>
      <c r="B112" s="1" t="s">
        <v>167</v>
      </c>
      <c r="D112" s="88">
        <v>9</v>
      </c>
      <c r="E112" s="88">
        <v>12</v>
      </c>
      <c r="F112" s="88">
        <v>5</v>
      </c>
      <c r="G112" s="1">
        <f t="shared" si="16"/>
        <v>26</v>
      </c>
      <c r="I112" s="6">
        <f t="shared" si="17"/>
        <v>8.6666666666666661</v>
      </c>
      <c r="J112" s="7">
        <f>IFR!AD112</f>
        <v>1.0978150376504306E-2</v>
      </c>
      <c r="K112" s="8">
        <f t="shared" si="9"/>
        <v>0.95</v>
      </c>
      <c r="L112" s="6">
        <f t="shared" si="14"/>
        <v>8.2333333333333325</v>
      </c>
      <c r="M112" s="8">
        <v>1</v>
      </c>
      <c r="N112" s="8">
        <v>1</v>
      </c>
      <c r="P112" s="6">
        <f t="shared" si="15"/>
        <v>8.2333333333333325</v>
      </c>
      <c r="R112" s="9">
        <f t="shared" si="10"/>
        <v>1.4885974639602729E-3</v>
      </c>
      <c r="T112" s="10">
        <f>+R112*([1]assessment!$J$272*[1]assessment!$E$3)</f>
        <v>13403.493524902375</v>
      </c>
      <c r="V112" s="7">
        <f>+T112/[1]payroll!$F112</f>
        <v>3.1072385498481732E-4</v>
      </c>
      <c r="X112" s="10">
        <f>IF(V112&lt;$X$2,T112,[1]payroll!$F112*$X$2)</f>
        <v>13403.493524902375</v>
      </c>
      <c r="Z112" s="10">
        <f t="shared" si="11"/>
        <v>0</v>
      </c>
      <c r="AB112" s="1">
        <f t="shared" si="12"/>
        <v>1</v>
      </c>
    </row>
    <row r="113" spans="1:28">
      <c r="A113" s="1" t="s">
        <v>168</v>
      </c>
      <c r="B113" s="1" t="s">
        <v>169</v>
      </c>
      <c r="D113" s="88">
        <v>6</v>
      </c>
      <c r="E113" s="88">
        <v>5</v>
      </c>
      <c r="F113" s="88">
        <v>2</v>
      </c>
      <c r="G113" s="1">
        <f t="shared" si="16"/>
        <v>13</v>
      </c>
      <c r="I113" s="6">
        <f t="shared" si="17"/>
        <v>4.333333333333333</v>
      </c>
      <c r="J113" s="7">
        <f>IFR!AD113</f>
        <v>3.7233775841752441E-3</v>
      </c>
      <c r="K113" s="8">
        <f t="shared" si="9"/>
        <v>0.95</v>
      </c>
      <c r="L113" s="6">
        <f t="shared" si="14"/>
        <v>4.1166666666666663</v>
      </c>
      <c r="M113" s="8">
        <v>1</v>
      </c>
      <c r="N113" s="8">
        <v>1</v>
      </c>
      <c r="P113" s="6">
        <f t="shared" si="15"/>
        <v>4.1166666666666663</v>
      </c>
      <c r="R113" s="9">
        <f t="shared" si="10"/>
        <v>7.4429873198013645E-4</v>
      </c>
      <c r="T113" s="10">
        <f>+R113*([1]assessment!$J$272*[1]assessment!$E$3)</f>
        <v>6701.7467624511874</v>
      </c>
      <c r="V113" s="7">
        <f>+T113/[1]payroll!$F113</f>
        <v>1.164660607882687E-4</v>
      </c>
      <c r="X113" s="10">
        <f>IF(V113&lt;$X$2,T113,[1]payroll!$F113*$X$2)</f>
        <v>6701.7467624511874</v>
      </c>
      <c r="Z113" s="10">
        <f t="shared" si="11"/>
        <v>0</v>
      </c>
      <c r="AB113" s="1">
        <f t="shared" si="12"/>
        <v>1</v>
      </c>
    </row>
    <row r="114" spans="1:28">
      <c r="A114" s="1" t="s">
        <v>170</v>
      </c>
      <c r="B114" s="1" t="s">
        <v>523</v>
      </c>
      <c r="D114" s="88">
        <v>25</v>
      </c>
      <c r="E114" s="88">
        <v>38</v>
      </c>
      <c r="F114" s="88">
        <v>35</v>
      </c>
      <c r="G114" s="1">
        <f t="shared" si="16"/>
        <v>98</v>
      </c>
      <c r="I114" s="6">
        <f t="shared" si="17"/>
        <v>32.666666666666664</v>
      </c>
      <c r="J114" s="7">
        <f>IFR!AD114</f>
        <v>7.2138720896345529E-3</v>
      </c>
      <c r="K114" s="8">
        <f t="shared" si="9"/>
        <v>0.95</v>
      </c>
      <c r="L114" s="6">
        <f t="shared" si="14"/>
        <v>31.033333333333328</v>
      </c>
      <c r="M114" s="8">
        <v>1</v>
      </c>
      <c r="N114" s="8">
        <v>1</v>
      </c>
      <c r="P114" s="6">
        <f t="shared" si="15"/>
        <v>31.033333333333328</v>
      </c>
      <c r="R114" s="9">
        <f t="shared" si="10"/>
        <v>5.6108673641579515E-3</v>
      </c>
      <c r="T114" s="10">
        <f>+R114*([1]assessment!$J$272*[1]assessment!$E$3)</f>
        <v>50520.86020924741</v>
      </c>
      <c r="V114" s="7">
        <f>+T114/[1]payroll!$F114</f>
        <v>1.2143391843566521E-4</v>
      </c>
      <c r="X114" s="10">
        <f>IF(V114&lt;$X$2,T114,[1]payroll!$F114*$X$2)</f>
        <v>50520.86020924741</v>
      </c>
      <c r="Z114" s="10">
        <f t="shared" si="11"/>
        <v>0</v>
      </c>
      <c r="AB114" s="1">
        <f t="shared" si="12"/>
        <v>1</v>
      </c>
    </row>
    <row r="115" spans="1:28">
      <c r="A115" s="1" t="s">
        <v>171</v>
      </c>
      <c r="B115" s="1" t="s">
        <v>172</v>
      </c>
      <c r="D115" s="88">
        <v>75</v>
      </c>
      <c r="E115" s="88">
        <v>80</v>
      </c>
      <c r="F115" s="88">
        <v>61</v>
      </c>
      <c r="G115" s="1">
        <f t="shared" si="16"/>
        <v>216</v>
      </c>
      <c r="I115" s="6">
        <f t="shared" si="17"/>
        <v>72</v>
      </c>
      <c r="J115" s="7">
        <f>IFR!AD115</f>
        <v>1.1678458731947531E-2</v>
      </c>
      <c r="K115" s="8">
        <f t="shared" si="9"/>
        <v>0.95</v>
      </c>
      <c r="L115" s="6">
        <f t="shared" si="14"/>
        <v>68.399999999999991</v>
      </c>
      <c r="M115" s="8">
        <v>1</v>
      </c>
      <c r="N115" s="8">
        <v>1</v>
      </c>
      <c r="P115" s="6">
        <f t="shared" si="15"/>
        <v>68.399999999999991</v>
      </c>
      <c r="R115" s="9">
        <f t="shared" si="10"/>
        <v>1.2366809700593036E-2</v>
      </c>
      <c r="T115" s="10">
        <f>+R115*([1]assessment!$J$272*[1]assessment!$E$3)</f>
        <v>111352.1000530351</v>
      </c>
      <c r="V115" s="7">
        <f>+T115/[1]payroll!$F115</f>
        <v>2.8816426459592925E-4</v>
      </c>
      <c r="X115" s="10">
        <f>IF(V115&lt;$X$2,T115,[1]payroll!$F115*$X$2)</f>
        <v>111352.1000530351</v>
      </c>
      <c r="Z115" s="10">
        <f t="shared" si="11"/>
        <v>0</v>
      </c>
      <c r="AB115" s="1">
        <f t="shared" si="12"/>
        <v>1</v>
      </c>
    </row>
    <row r="116" spans="1:28">
      <c r="A116" s="1" t="s">
        <v>173</v>
      </c>
      <c r="B116" s="1" t="s">
        <v>174</v>
      </c>
      <c r="D116" s="88">
        <v>21</v>
      </c>
      <c r="E116" s="88">
        <v>27</v>
      </c>
      <c r="F116" s="88">
        <v>16</v>
      </c>
      <c r="G116" s="1">
        <f t="shared" si="16"/>
        <v>64</v>
      </c>
      <c r="I116" s="6">
        <f t="shared" si="17"/>
        <v>21.333333333333332</v>
      </c>
      <c r="J116" s="7">
        <f>IFR!AD116</f>
        <v>6.9812920747245877E-3</v>
      </c>
      <c r="K116" s="8">
        <f t="shared" si="9"/>
        <v>0.95</v>
      </c>
      <c r="L116" s="6">
        <f t="shared" si="14"/>
        <v>20.266666666666666</v>
      </c>
      <c r="M116" s="8">
        <v>1</v>
      </c>
      <c r="N116" s="8">
        <v>1</v>
      </c>
      <c r="P116" s="6">
        <f t="shared" si="15"/>
        <v>20.266666666666666</v>
      </c>
      <c r="R116" s="9">
        <f t="shared" si="10"/>
        <v>3.6642399112868261E-3</v>
      </c>
      <c r="T116" s="10">
        <f>+R116*([1]assessment!$J$272*[1]assessment!$E$3)</f>
        <v>32993.214830528923</v>
      </c>
      <c r="V116" s="7">
        <f>+T116/[1]payroll!$F116</f>
        <v>1.6756313550258368E-4</v>
      </c>
      <c r="X116" s="10">
        <f>IF(V116&lt;$X$2,T116,[1]payroll!$F116*$X$2)</f>
        <v>32993.214830528923</v>
      </c>
      <c r="Z116" s="10">
        <f t="shared" si="11"/>
        <v>0</v>
      </c>
      <c r="AB116" s="1">
        <f t="shared" si="12"/>
        <v>1</v>
      </c>
    </row>
    <row r="117" spans="1:28">
      <c r="A117" s="1" t="s">
        <v>175</v>
      </c>
      <c r="B117" s="11" t="s">
        <v>541</v>
      </c>
      <c r="D117" s="88">
        <f>43+1</f>
        <v>44</v>
      </c>
      <c r="E117" s="88">
        <v>45</v>
      </c>
      <c r="F117" s="88">
        <v>56</v>
      </c>
      <c r="G117" s="1">
        <f t="shared" si="16"/>
        <v>145</v>
      </c>
      <c r="I117" s="6">
        <f t="shared" si="17"/>
        <v>48.333333333333336</v>
      </c>
      <c r="J117" s="7">
        <f>IFR!AD117</f>
        <v>1.084254435933088E-2</v>
      </c>
      <c r="K117" s="8">
        <f t="shared" si="9"/>
        <v>0.95</v>
      </c>
      <c r="L117" s="6">
        <f t="shared" si="14"/>
        <v>45.916666666666664</v>
      </c>
      <c r="M117" s="8">
        <v>1</v>
      </c>
      <c r="N117" s="8">
        <v>1</v>
      </c>
      <c r="P117" s="6">
        <f t="shared" si="15"/>
        <v>45.916666666666664</v>
      </c>
      <c r="R117" s="9">
        <f t="shared" si="10"/>
        <v>8.3017935490092148E-3</v>
      </c>
      <c r="T117" s="10">
        <f>+R117*([1]assessment!$J$272*[1]assessment!$E$3)</f>
        <v>74750.252350417097</v>
      </c>
      <c r="V117" s="7">
        <f>+T117/[1]payroll!$F117</f>
        <v>2.1877147242908238E-4</v>
      </c>
      <c r="X117" s="10">
        <f>IF(V117&lt;$X$2,T117,[1]payroll!$F117*$X$2)</f>
        <v>74750.252350417097</v>
      </c>
      <c r="Z117" s="10">
        <f t="shared" si="11"/>
        <v>0</v>
      </c>
      <c r="AB117" s="1">
        <f t="shared" si="12"/>
        <v>1</v>
      </c>
    </row>
    <row r="118" spans="1:28">
      <c r="A118" s="1" t="s">
        <v>176</v>
      </c>
      <c r="B118" s="1" t="s">
        <v>177</v>
      </c>
      <c r="D118" s="88">
        <f>6+1</f>
        <v>7</v>
      </c>
      <c r="E118" s="88">
        <v>6</v>
      </c>
      <c r="F118" s="88">
        <v>6</v>
      </c>
      <c r="G118" s="1">
        <f t="shared" si="16"/>
        <v>19</v>
      </c>
      <c r="I118" s="6">
        <f t="shared" si="17"/>
        <v>6.333333333333333</v>
      </c>
      <c r="J118" s="7">
        <f>IFR!AD118</f>
        <v>1.5841840458734536E-2</v>
      </c>
      <c r="K118" s="8">
        <f t="shared" si="9"/>
        <v>0.95</v>
      </c>
      <c r="L118" s="6">
        <f t="shared" si="14"/>
        <v>6.0166666666666657</v>
      </c>
      <c r="M118" s="8">
        <v>1</v>
      </c>
      <c r="N118" s="8">
        <v>1</v>
      </c>
      <c r="P118" s="6">
        <f t="shared" si="15"/>
        <v>6.0166666666666657</v>
      </c>
      <c r="R118" s="9">
        <f t="shared" si="10"/>
        <v>1.0878212236632764E-3</v>
      </c>
      <c r="T118" s="10">
        <f>+R118*([1]assessment!$J$272*[1]assessment!$E$3)</f>
        <v>9794.8606528132732</v>
      </c>
      <c r="V118" s="7">
        <f>+T118/[1]payroll!$F118</f>
        <v>4.3679889459139311E-4</v>
      </c>
      <c r="X118" s="10">
        <f>IF(V118&lt;$X$2,T118,[1]payroll!$F118*$X$2)</f>
        <v>9794.8606528132732</v>
      </c>
      <c r="Z118" s="10">
        <f t="shared" si="11"/>
        <v>0</v>
      </c>
      <c r="AB118" s="1">
        <f t="shared" si="12"/>
        <v>1</v>
      </c>
    </row>
    <row r="119" spans="1:28">
      <c r="A119" s="1" t="s">
        <v>178</v>
      </c>
      <c r="B119" s="1" t="s">
        <v>524</v>
      </c>
      <c r="D119" s="88">
        <v>0</v>
      </c>
      <c r="E119" s="88">
        <v>0</v>
      </c>
      <c r="F119" s="88">
        <v>0</v>
      </c>
      <c r="G119" s="1">
        <f t="shared" si="16"/>
        <v>0</v>
      </c>
      <c r="I119" s="6">
        <f t="shared" si="17"/>
        <v>0</v>
      </c>
      <c r="J119" s="7">
        <f>IFR!AD119</f>
        <v>0</v>
      </c>
      <c r="K119" s="8">
        <f t="shared" si="9"/>
        <v>0.95</v>
      </c>
      <c r="L119" s="6">
        <f t="shared" si="14"/>
        <v>0</v>
      </c>
      <c r="M119" s="8">
        <v>1</v>
      </c>
      <c r="N119" s="8">
        <v>1</v>
      </c>
      <c r="P119" s="6">
        <f t="shared" si="15"/>
        <v>0</v>
      </c>
      <c r="R119" s="9">
        <f t="shared" si="10"/>
        <v>0</v>
      </c>
      <c r="T119" s="10">
        <f>+R119*([1]assessment!$J$272*[1]assessment!$E$3)</f>
        <v>0</v>
      </c>
      <c r="V119" s="7">
        <f>+T119/[1]payroll!$F119</f>
        <v>0</v>
      </c>
      <c r="X119" s="10">
        <f>IF(V119&lt;$X$2,T119,[1]payroll!$F119*$X$2)</f>
        <v>0</v>
      </c>
      <c r="Z119" s="10">
        <f t="shared" si="11"/>
        <v>0</v>
      </c>
      <c r="AB119" s="1" t="e">
        <f t="shared" si="12"/>
        <v>#DIV/0!</v>
      </c>
    </row>
    <row r="120" spans="1:28">
      <c r="A120" s="1" t="s">
        <v>179</v>
      </c>
      <c r="B120" s="1" t="s">
        <v>180</v>
      </c>
      <c r="D120" s="88">
        <v>15</v>
      </c>
      <c r="E120" s="88">
        <v>12</v>
      </c>
      <c r="F120" s="88">
        <v>9</v>
      </c>
      <c r="G120" s="1">
        <f t="shared" si="16"/>
        <v>36</v>
      </c>
      <c r="I120" s="6">
        <f t="shared" si="17"/>
        <v>12</v>
      </c>
      <c r="J120" s="7">
        <f>IFR!AD120</f>
        <v>1.0238975918059535E-2</v>
      </c>
      <c r="K120" s="8">
        <f t="shared" si="9"/>
        <v>0.95</v>
      </c>
      <c r="L120" s="6">
        <f t="shared" si="14"/>
        <v>11.399999999999999</v>
      </c>
      <c r="M120" s="8">
        <v>1</v>
      </c>
      <c r="N120" s="8">
        <v>1</v>
      </c>
      <c r="P120" s="6">
        <f t="shared" si="15"/>
        <v>11.399999999999999</v>
      </c>
      <c r="R120" s="9">
        <f t="shared" si="10"/>
        <v>2.0611349500988395E-3</v>
      </c>
      <c r="T120" s="10">
        <f>+R120*([1]assessment!$J$272*[1]assessment!$E$3)</f>
        <v>18558.68334217252</v>
      </c>
      <c r="V120" s="7">
        <f>+T120/[1]payroll!$F120</f>
        <v>2.4496827989665065E-4</v>
      </c>
      <c r="X120" s="10">
        <f>IF(V120&lt;$X$2,T120,[1]payroll!$F120*$X$2)</f>
        <v>18558.68334217252</v>
      </c>
      <c r="Z120" s="10">
        <f t="shared" si="11"/>
        <v>0</v>
      </c>
      <c r="AB120" s="1">
        <f t="shared" si="12"/>
        <v>1</v>
      </c>
    </row>
    <row r="121" spans="1:28">
      <c r="A121" s="1" t="s">
        <v>181</v>
      </c>
      <c r="B121" s="1" t="s">
        <v>182</v>
      </c>
      <c r="D121" s="88">
        <v>14</v>
      </c>
      <c r="E121" s="88">
        <v>21</v>
      </c>
      <c r="F121" s="88">
        <v>21</v>
      </c>
      <c r="G121" s="1">
        <f t="shared" si="16"/>
        <v>56</v>
      </c>
      <c r="I121" s="6">
        <f t="shared" si="17"/>
        <v>18.666666666666668</v>
      </c>
      <c r="J121" s="7">
        <f>IFR!AD121</f>
        <v>1.4445835330847132E-2</v>
      </c>
      <c r="K121" s="8">
        <f t="shared" si="9"/>
        <v>0.95</v>
      </c>
      <c r="L121" s="6">
        <f t="shared" si="14"/>
        <v>17.733333333333334</v>
      </c>
      <c r="M121" s="8">
        <v>1</v>
      </c>
      <c r="N121" s="8">
        <v>1</v>
      </c>
      <c r="P121" s="6">
        <f t="shared" si="15"/>
        <v>17.733333333333334</v>
      </c>
      <c r="R121" s="9">
        <f t="shared" si="10"/>
        <v>3.2062099223759731E-3</v>
      </c>
      <c r="T121" s="10">
        <f>+R121*([1]assessment!$J$272*[1]assessment!$E$3)</f>
        <v>28869.062976712812</v>
      </c>
      <c r="V121" s="7">
        <f>+T121/[1]payroll!$F121</f>
        <v>2.2888178164861086E-4</v>
      </c>
      <c r="X121" s="10">
        <f>IF(V121&lt;$X$2,T121,[1]payroll!$F121*$X$2)</f>
        <v>28869.062976712812</v>
      </c>
      <c r="Z121" s="10">
        <f t="shared" si="11"/>
        <v>0</v>
      </c>
      <c r="AB121" s="1">
        <f t="shared" si="12"/>
        <v>1</v>
      </c>
    </row>
    <row r="122" spans="1:28">
      <c r="A122" s="1" t="s">
        <v>469</v>
      </c>
      <c r="B122" s="1" t="s">
        <v>470</v>
      </c>
      <c r="D122" s="88">
        <v>0</v>
      </c>
      <c r="E122" s="88">
        <v>1</v>
      </c>
      <c r="F122" s="88">
        <v>0</v>
      </c>
      <c r="G122" s="1">
        <f t="shared" si="16"/>
        <v>1</v>
      </c>
      <c r="I122" s="6">
        <f>AVERAGE(D122:F122)</f>
        <v>0.33333333333333331</v>
      </c>
      <c r="J122" s="7">
        <f>IFR!AD122</f>
        <v>9.2760076063262383E-4</v>
      </c>
      <c r="K122" s="8">
        <f t="shared" si="9"/>
        <v>0.95</v>
      </c>
      <c r="L122" s="6">
        <f t="shared" si="14"/>
        <v>0.31666666666666665</v>
      </c>
      <c r="M122" s="8">
        <v>1</v>
      </c>
      <c r="N122" s="8">
        <v>1</v>
      </c>
      <c r="P122" s="6">
        <f t="shared" si="15"/>
        <v>0.31666666666666665</v>
      </c>
      <c r="R122" s="9">
        <f t="shared" si="10"/>
        <v>5.7253748613856657E-5</v>
      </c>
      <c r="T122" s="10">
        <f>+R122*([1]assessment!$J$272*[1]assessment!$E$3)</f>
        <v>515.51898172701442</v>
      </c>
      <c r="V122" s="7">
        <f>+T122/[1]payroll!$F122</f>
        <v>1.4996352041931409E-5</v>
      </c>
      <c r="X122" s="10">
        <f>IF(V122&lt;$X$2,T122,[1]payroll!$F122*$X$2)</f>
        <v>515.51898172701442</v>
      </c>
      <c r="Z122" s="10">
        <f t="shared" si="11"/>
        <v>0</v>
      </c>
      <c r="AB122" s="1">
        <f t="shared" si="12"/>
        <v>1</v>
      </c>
    </row>
    <row r="123" spans="1:28">
      <c r="A123" s="1" t="s">
        <v>183</v>
      </c>
      <c r="B123" s="1" t="s">
        <v>487</v>
      </c>
      <c r="D123" s="88">
        <v>8</v>
      </c>
      <c r="E123" s="88">
        <v>9</v>
      </c>
      <c r="F123" s="88">
        <v>11</v>
      </c>
      <c r="G123" s="1">
        <f t="shared" si="16"/>
        <v>28</v>
      </c>
      <c r="I123" s="6">
        <f t="shared" si="17"/>
        <v>9.3333333333333339</v>
      </c>
      <c r="J123" s="7">
        <f>IFR!AD123</f>
        <v>3.0194365530050834E-2</v>
      </c>
      <c r="K123" s="8">
        <f t="shared" si="9"/>
        <v>0.95</v>
      </c>
      <c r="L123" s="6">
        <f t="shared" si="14"/>
        <v>8.8666666666666671</v>
      </c>
      <c r="M123" s="8">
        <v>1</v>
      </c>
      <c r="N123" s="8">
        <v>1</v>
      </c>
      <c r="P123" s="6">
        <f t="shared" si="15"/>
        <v>8.8666666666666671</v>
      </c>
      <c r="R123" s="9">
        <f t="shared" si="10"/>
        <v>1.6031049611879866E-3</v>
      </c>
      <c r="T123" s="10">
        <f>+R123*([1]assessment!$J$272*[1]assessment!$E$3)</f>
        <v>14434.531488356406</v>
      </c>
      <c r="V123" s="7">
        <f>+T123/[1]payroll!$F123</f>
        <v>5.8490864862117465E-4</v>
      </c>
      <c r="X123" s="10">
        <f>IF(V123&lt;$X$2,T123,[1]payroll!$F123*$X$2)</f>
        <v>14434.531488356406</v>
      </c>
      <c r="Z123" s="10">
        <f t="shared" si="11"/>
        <v>0</v>
      </c>
      <c r="AB123" s="1">
        <f t="shared" si="12"/>
        <v>1</v>
      </c>
    </row>
    <row r="124" spans="1:28">
      <c r="A124" s="1" t="s">
        <v>184</v>
      </c>
      <c r="B124" s="1" t="s">
        <v>185</v>
      </c>
      <c r="D124" s="88">
        <v>17</v>
      </c>
      <c r="E124" s="88">
        <v>21</v>
      </c>
      <c r="F124" s="88">
        <v>15</v>
      </c>
      <c r="G124" s="1">
        <f t="shared" si="16"/>
        <v>53</v>
      </c>
      <c r="I124" s="6">
        <f t="shared" si="17"/>
        <v>17.666666666666668</v>
      </c>
      <c r="J124" s="7">
        <f>IFR!AD124</f>
        <v>4.1731561455343978E-2</v>
      </c>
      <c r="K124" s="8">
        <f t="shared" si="9"/>
        <v>1</v>
      </c>
      <c r="L124" s="6">
        <f t="shared" si="14"/>
        <v>17.666666666666668</v>
      </c>
      <c r="M124" s="8">
        <v>1</v>
      </c>
      <c r="N124" s="8">
        <v>1</v>
      </c>
      <c r="P124" s="6">
        <f t="shared" si="15"/>
        <v>17.666666666666668</v>
      </c>
      <c r="R124" s="9">
        <f t="shared" si="10"/>
        <v>3.1941565016151614E-3</v>
      </c>
      <c r="T124" s="10">
        <f>+R124*([1]assessment!$J$272*[1]assessment!$E$3)</f>
        <v>28760.532664770286</v>
      </c>
      <c r="V124" s="7">
        <f>+T124/[1]payroll!$F124</f>
        <v>9.5344774111623843E-4</v>
      </c>
      <c r="X124" s="10">
        <f>IF(V124&lt;$X$2,T124,[1]payroll!$F124*$X$2)</f>
        <v>28760.532664770286</v>
      </c>
      <c r="Z124" s="10">
        <f t="shared" si="11"/>
        <v>0</v>
      </c>
      <c r="AB124" s="1">
        <f t="shared" si="12"/>
        <v>1</v>
      </c>
    </row>
    <row r="125" spans="1:28">
      <c r="A125" s="1" t="s">
        <v>534</v>
      </c>
      <c r="B125" s="1" t="s">
        <v>535</v>
      </c>
      <c r="D125" s="88">
        <v>0</v>
      </c>
      <c r="E125" s="88">
        <v>3</v>
      </c>
      <c r="F125" s="88">
        <v>7</v>
      </c>
      <c r="G125" s="1">
        <f>SUM(D125:F125)</f>
        <v>10</v>
      </c>
      <c r="I125" s="6">
        <f>AVERAGE(D125:F125)</f>
        <v>3.3333333333333335</v>
      </c>
      <c r="J125" s="7">
        <f>IFR!AD125</f>
        <v>9.1875454048764085E-3</v>
      </c>
      <c r="K125" s="8">
        <f t="shared" si="9"/>
        <v>0.95</v>
      </c>
      <c r="L125" s="6">
        <f t="shared" si="14"/>
        <v>3.1666666666666665</v>
      </c>
      <c r="M125" s="8">
        <v>1</v>
      </c>
      <c r="N125" s="8">
        <v>1</v>
      </c>
      <c r="P125" s="6">
        <f t="shared" si="15"/>
        <v>3.1666666666666665</v>
      </c>
      <c r="R125" s="9">
        <f t="shared" si="10"/>
        <v>5.725374861385666E-4</v>
      </c>
      <c r="T125" s="10">
        <f>+R125*([1]assessment!$J$272*[1]assessment!$E$3)</f>
        <v>5155.1898172701449</v>
      </c>
      <c r="V125" s="7">
        <f>+T125/[1]payroll!$F125</f>
        <v>1.4506740326626936E-4</v>
      </c>
      <c r="X125" s="10">
        <f>IF(V125&lt;$X$2,T125,[1]payroll!$F125*$X$2)</f>
        <v>5155.1898172701449</v>
      </c>
      <c r="Z125" s="10">
        <f t="shared" si="11"/>
        <v>0</v>
      </c>
      <c r="AB125" s="1">
        <f t="shared" si="12"/>
        <v>1</v>
      </c>
    </row>
    <row r="126" spans="1:28">
      <c r="A126" s="11" t="s">
        <v>551</v>
      </c>
      <c r="B126" s="11" t="s">
        <v>546</v>
      </c>
      <c r="D126" s="88">
        <f>22+1</f>
        <v>23</v>
      </c>
      <c r="E126" s="88">
        <v>35</v>
      </c>
      <c r="F126" s="88">
        <v>43</v>
      </c>
      <c r="G126" s="1">
        <f>SUM(D126:F126)</f>
        <v>101</v>
      </c>
      <c r="I126" s="6">
        <f>AVERAGE(D126:F126)</f>
        <v>33.666666666666664</v>
      </c>
      <c r="J126" s="7">
        <f>IFR!AD126</f>
        <v>2.1730433989521892E-2</v>
      </c>
      <c r="K126" s="8">
        <f t="shared" si="9"/>
        <v>0.95</v>
      </c>
      <c r="L126" s="6">
        <f t="shared" si="14"/>
        <v>31.983333333333331</v>
      </c>
      <c r="M126" s="8">
        <v>1</v>
      </c>
      <c r="N126" s="8">
        <v>1</v>
      </c>
      <c r="P126" s="6">
        <f t="shared" si="15"/>
        <v>31.983333333333331</v>
      </c>
      <c r="R126" s="9">
        <f t="shared" si="10"/>
        <v>5.782628609999522E-3</v>
      </c>
      <c r="T126" s="10">
        <f>+R126*([1]assessment!$J$272*[1]assessment!$E$3)</f>
        <v>52067.417154428455</v>
      </c>
      <c r="V126" s="7">
        <f>+T126/[1]payroll!$F126</f>
        <v>3.296441008946728E-4</v>
      </c>
      <c r="X126" s="10">
        <f>IF(V126&lt;$X$2,T126,[1]payroll!$F126*$X$2)</f>
        <v>52067.417154428455</v>
      </c>
      <c r="Z126" s="10">
        <f t="shared" si="11"/>
        <v>0</v>
      </c>
      <c r="AB126" s="1">
        <f t="shared" si="12"/>
        <v>1</v>
      </c>
    </row>
    <row r="127" spans="1:28">
      <c r="A127" s="1" t="s">
        <v>186</v>
      </c>
      <c r="B127" s="1" t="s">
        <v>187</v>
      </c>
      <c r="D127" s="88">
        <v>0</v>
      </c>
      <c r="E127" s="88">
        <v>0</v>
      </c>
      <c r="F127" s="88">
        <v>0</v>
      </c>
      <c r="G127" s="1">
        <f t="shared" si="16"/>
        <v>0</v>
      </c>
      <c r="I127" s="6">
        <f t="shared" si="17"/>
        <v>0</v>
      </c>
      <c r="J127" s="7">
        <f>IFR!AD127</f>
        <v>0</v>
      </c>
      <c r="K127" s="8">
        <f t="shared" si="9"/>
        <v>0.95</v>
      </c>
      <c r="L127" s="6">
        <f t="shared" si="14"/>
        <v>0</v>
      </c>
      <c r="M127" s="8">
        <v>1</v>
      </c>
      <c r="N127" s="8">
        <v>1</v>
      </c>
      <c r="P127" s="6">
        <f t="shared" si="15"/>
        <v>0</v>
      </c>
      <c r="R127" s="9">
        <f t="shared" si="10"/>
        <v>0</v>
      </c>
      <c r="T127" s="10">
        <f>+R127*([1]assessment!$J$272*[1]assessment!$E$3)</f>
        <v>0</v>
      </c>
      <c r="V127" s="7">
        <f>+T127/[1]payroll!$F127</f>
        <v>0</v>
      </c>
      <c r="X127" s="10">
        <f>IF(V127&lt;$X$2,T127,[1]payroll!$F127*$X$2)</f>
        <v>0</v>
      </c>
      <c r="Z127" s="10">
        <f t="shared" si="11"/>
        <v>0</v>
      </c>
      <c r="AB127" s="1" t="e">
        <f t="shared" si="12"/>
        <v>#DIV/0!</v>
      </c>
    </row>
    <row r="128" spans="1:28">
      <c r="A128" s="1" t="s">
        <v>188</v>
      </c>
      <c r="B128" s="1" t="s">
        <v>525</v>
      </c>
      <c r="D128" s="88">
        <v>0</v>
      </c>
      <c r="E128" s="88">
        <f>1+1</f>
        <v>2</v>
      </c>
      <c r="F128" s="88">
        <v>1</v>
      </c>
      <c r="G128" s="1">
        <f t="shared" si="16"/>
        <v>3</v>
      </c>
      <c r="I128" s="6">
        <f t="shared" si="17"/>
        <v>1</v>
      </c>
      <c r="J128" s="7">
        <f>IFR!AD128</f>
        <v>1.1666666666666667E-2</v>
      </c>
      <c r="K128" s="8">
        <f t="shared" si="9"/>
        <v>0.95</v>
      </c>
      <c r="L128" s="6">
        <f t="shared" si="14"/>
        <v>0.95</v>
      </c>
      <c r="M128" s="8">
        <v>1</v>
      </c>
      <c r="N128" s="8">
        <v>1</v>
      </c>
      <c r="P128" s="6">
        <f t="shared" si="15"/>
        <v>0.95</v>
      </c>
      <c r="R128" s="9">
        <f t="shared" si="10"/>
        <v>1.7176124584156996E-4</v>
      </c>
      <c r="T128" s="10">
        <f>+R128*([1]assessment!$J$272*[1]assessment!$E$3)</f>
        <v>1546.5569451810434</v>
      </c>
      <c r="V128" s="7">
        <f>+T128/[1]payroll!$F128</f>
        <v>1.7183849882013172E-4</v>
      </c>
      <c r="X128" s="10">
        <f>IF(V128&lt;$X$2,T128,[1]payroll!$F128*$X$2)</f>
        <v>1546.5569451810434</v>
      </c>
      <c r="Z128" s="10">
        <f t="shared" si="11"/>
        <v>0</v>
      </c>
      <c r="AB128" s="1">
        <f t="shared" si="12"/>
        <v>1</v>
      </c>
    </row>
    <row r="129" spans="1:28">
      <c r="A129" s="1" t="s">
        <v>189</v>
      </c>
      <c r="B129" s="1" t="s">
        <v>190</v>
      </c>
      <c r="D129" s="88">
        <f>14+1</f>
        <v>15</v>
      </c>
      <c r="E129" s="88">
        <v>12</v>
      </c>
      <c r="F129" s="88">
        <v>5</v>
      </c>
      <c r="G129" s="1">
        <f t="shared" si="16"/>
        <v>32</v>
      </c>
      <c r="I129" s="6">
        <f t="shared" si="17"/>
        <v>10.666666666666666</v>
      </c>
      <c r="J129" s="7">
        <f>IFR!AD129</f>
        <v>7.7442785844487813E-3</v>
      </c>
      <c r="K129" s="8">
        <f t="shared" si="9"/>
        <v>0.95</v>
      </c>
      <c r="L129" s="6">
        <f t="shared" si="14"/>
        <v>10.133333333333333</v>
      </c>
      <c r="M129" s="8">
        <v>1</v>
      </c>
      <c r="N129" s="8">
        <v>1</v>
      </c>
      <c r="P129" s="6">
        <f t="shared" si="15"/>
        <v>10.133333333333333</v>
      </c>
      <c r="R129" s="9">
        <f t="shared" si="10"/>
        <v>1.832119955643413E-3</v>
      </c>
      <c r="T129" s="10">
        <f>+R129*([1]assessment!$J$272*[1]assessment!$E$3)</f>
        <v>16496.607415264461</v>
      </c>
      <c r="V129" s="7">
        <f>+T129/[1]payroll!$F129</f>
        <v>1.8047606802359392E-4</v>
      </c>
      <c r="X129" s="10">
        <f>IF(V129&lt;$X$2,T129,[1]payroll!$F129*$X$2)</f>
        <v>16496.607415264461</v>
      </c>
      <c r="Z129" s="10">
        <f t="shared" si="11"/>
        <v>0</v>
      </c>
      <c r="AB129" s="1">
        <f t="shared" si="12"/>
        <v>1</v>
      </c>
    </row>
    <row r="130" spans="1:28">
      <c r="A130" s="1" t="s">
        <v>191</v>
      </c>
      <c r="B130" s="1" t="s">
        <v>526</v>
      </c>
      <c r="D130" s="88">
        <v>1</v>
      </c>
      <c r="E130" s="88">
        <v>3</v>
      </c>
      <c r="F130" s="88">
        <v>1</v>
      </c>
      <c r="G130" s="1">
        <f t="shared" si="16"/>
        <v>5</v>
      </c>
      <c r="I130" s="6">
        <f t="shared" si="17"/>
        <v>1.6666666666666667</v>
      </c>
      <c r="J130" s="7">
        <f>IFR!AD130</f>
        <v>1.0743568070838335E-2</v>
      </c>
      <c r="K130" s="8">
        <f t="shared" si="9"/>
        <v>0.95</v>
      </c>
      <c r="L130" s="6">
        <f t="shared" si="14"/>
        <v>1.5833333333333333</v>
      </c>
      <c r="M130" s="8">
        <v>1</v>
      </c>
      <c r="N130" s="8">
        <v>1</v>
      </c>
      <c r="P130" s="6">
        <f t="shared" si="15"/>
        <v>1.5833333333333333</v>
      </c>
      <c r="R130" s="9">
        <f t="shared" si="10"/>
        <v>2.862687430692833E-4</v>
      </c>
      <c r="T130" s="10">
        <f>+R130*([1]assessment!$J$272*[1]assessment!$E$3)</f>
        <v>2577.5949086350724</v>
      </c>
      <c r="V130" s="7">
        <f>+T130/[1]payroll!$F130</f>
        <v>2.5384457935376795E-4</v>
      </c>
      <c r="X130" s="10">
        <f>IF(V130&lt;$X$2,T130,[1]payroll!$F130*$X$2)</f>
        <v>2577.5949086350724</v>
      </c>
      <c r="Z130" s="10">
        <f t="shared" si="11"/>
        <v>0</v>
      </c>
      <c r="AB130" s="1">
        <f t="shared" si="12"/>
        <v>1</v>
      </c>
    </row>
    <row r="131" spans="1:28">
      <c r="A131" s="1" t="s">
        <v>192</v>
      </c>
      <c r="B131" s="1" t="s">
        <v>527</v>
      </c>
      <c r="D131" s="88">
        <v>1</v>
      </c>
      <c r="E131" s="88">
        <v>4</v>
      </c>
      <c r="F131" s="88">
        <v>1</v>
      </c>
      <c r="G131" s="1">
        <f t="shared" si="16"/>
        <v>6</v>
      </c>
      <c r="I131" s="6">
        <f t="shared" si="17"/>
        <v>2</v>
      </c>
      <c r="J131" s="7">
        <f>IFR!AD131</f>
        <v>9.8472960798655761E-3</v>
      </c>
      <c r="K131" s="8">
        <f t="shared" si="9"/>
        <v>0.95</v>
      </c>
      <c r="L131" s="6">
        <f t="shared" si="14"/>
        <v>1.9</v>
      </c>
      <c r="M131" s="8">
        <v>1</v>
      </c>
      <c r="N131" s="8">
        <v>1</v>
      </c>
      <c r="P131" s="6">
        <f t="shared" si="15"/>
        <v>1.9</v>
      </c>
      <c r="R131" s="9">
        <f t="shared" si="10"/>
        <v>3.4352249168313992E-4</v>
      </c>
      <c r="T131" s="10">
        <f>+R131*([1]assessment!$J$272*[1]assessment!$E$3)</f>
        <v>3093.1138903620867</v>
      </c>
      <c r="V131" s="7">
        <f>+T131/[1]payroll!$F131</f>
        <v>2.9164755265487268E-4</v>
      </c>
      <c r="X131" s="10">
        <f>IF(V131&lt;$X$2,T131,[1]payroll!$F131*$X$2)</f>
        <v>3093.1138903620867</v>
      </c>
      <c r="Z131" s="10">
        <f t="shared" si="11"/>
        <v>0</v>
      </c>
      <c r="AB131" s="1">
        <f t="shared" si="12"/>
        <v>1</v>
      </c>
    </row>
    <row r="132" spans="1:28">
      <c r="A132" s="1" t="s">
        <v>193</v>
      </c>
      <c r="B132" s="1" t="s">
        <v>488</v>
      </c>
      <c r="D132" s="88">
        <v>2</v>
      </c>
      <c r="E132" s="88">
        <v>1</v>
      </c>
      <c r="F132" s="88">
        <v>1</v>
      </c>
      <c r="G132" s="1">
        <f t="shared" si="16"/>
        <v>4</v>
      </c>
      <c r="I132" s="6">
        <f t="shared" si="17"/>
        <v>1.3333333333333333</v>
      </c>
      <c r="J132" s="7">
        <f>IFR!AD132</f>
        <v>5.1311538311874698E-3</v>
      </c>
      <c r="K132" s="8">
        <f t="shared" si="9"/>
        <v>0.95</v>
      </c>
      <c r="L132" s="6">
        <f t="shared" si="14"/>
        <v>1.2666666666666666</v>
      </c>
      <c r="M132" s="8">
        <v>1</v>
      </c>
      <c r="N132" s="8">
        <v>1</v>
      </c>
      <c r="P132" s="6">
        <f t="shared" si="15"/>
        <v>1.2666666666666666</v>
      </c>
      <c r="R132" s="9">
        <f t="shared" si="10"/>
        <v>2.2901499445542663E-4</v>
      </c>
      <c r="T132" s="10">
        <f>+R132*([1]assessment!$J$272*[1]assessment!$E$3)</f>
        <v>2062.0759269080577</v>
      </c>
      <c r="V132" s="7">
        <f>+T132/[1]payroll!$F132</f>
        <v>1.5239747257936016E-4</v>
      </c>
      <c r="X132" s="10">
        <f>IF(V132&lt;$X$2,T132,[1]payroll!$F132*$X$2)</f>
        <v>2062.0759269080577</v>
      </c>
      <c r="Z132" s="10">
        <f t="shared" ref="Z132:Z139" si="18">+T132-X132</f>
        <v>0</v>
      </c>
      <c r="AB132" s="1">
        <f t="shared" ref="AB132:AB139" si="19">+X132/T132</f>
        <v>1</v>
      </c>
    </row>
    <row r="133" spans="1:28">
      <c r="A133" s="1" t="s">
        <v>194</v>
      </c>
      <c r="B133" s="1" t="s">
        <v>528</v>
      </c>
      <c r="D133" s="88">
        <f>87+3</f>
        <v>90</v>
      </c>
      <c r="E133" s="88">
        <f>110+1</f>
        <v>111</v>
      </c>
      <c r="F133" s="88">
        <v>96</v>
      </c>
      <c r="G133" s="1">
        <f t="shared" si="16"/>
        <v>297</v>
      </c>
      <c r="I133" s="6">
        <f t="shared" si="17"/>
        <v>99</v>
      </c>
      <c r="J133" s="7">
        <f>IFR!AD133</f>
        <v>3.2768028545649745E-2</v>
      </c>
      <c r="K133" s="8">
        <f t="shared" ref="K133:K196" si="20">IF(+J133&lt;$E$267,$I$267,IF(J133&gt;$E$269,$I$269,$I$268))</f>
        <v>0.95</v>
      </c>
      <c r="L133" s="6">
        <f t="shared" ref="L133:L139" si="21">+I133*K133</f>
        <v>94.05</v>
      </c>
      <c r="M133" s="8">
        <v>1</v>
      </c>
      <c r="N133" s="8">
        <v>1</v>
      </c>
      <c r="P133" s="6">
        <f t="shared" ref="P133:P139" si="22">+L133*M133*N133</f>
        <v>94.05</v>
      </c>
      <c r="R133" s="9">
        <f t="shared" ref="R133:R196" si="23">+P133/$P$264</f>
        <v>1.7004363338315426E-2</v>
      </c>
      <c r="T133" s="10">
        <f>+R133*([1]assessment!$J$272*[1]assessment!$E$3)</f>
        <v>153109.1375729233</v>
      </c>
      <c r="V133" s="7">
        <f>+T133/[1]payroll!$F133</f>
        <v>7.7785784086647624E-4</v>
      </c>
      <c r="X133" s="10">
        <f>IF(V133&lt;$X$2,T133,[1]payroll!$F133*$X$2)</f>
        <v>153109.1375729233</v>
      </c>
      <c r="Z133" s="10">
        <f t="shared" si="18"/>
        <v>0</v>
      </c>
      <c r="AB133" s="1">
        <f t="shared" si="19"/>
        <v>1</v>
      </c>
    </row>
    <row r="134" spans="1:28">
      <c r="A134" s="1" t="s">
        <v>195</v>
      </c>
      <c r="B134" s="1" t="s">
        <v>196</v>
      </c>
      <c r="D134" s="88">
        <v>6</v>
      </c>
      <c r="E134" s="88">
        <v>3</v>
      </c>
      <c r="F134" s="88">
        <v>5</v>
      </c>
      <c r="G134" s="1">
        <f t="shared" si="16"/>
        <v>14</v>
      </c>
      <c r="I134" s="6">
        <f t="shared" si="17"/>
        <v>4.666666666666667</v>
      </c>
      <c r="J134" s="7">
        <f>IFR!AD134</f>
        <v>1.4542147678032366E-2</v>
      </c>
      <c r="K134" s="8">
        <f t="shared" si="20"/>
        <v>0.95</v>
      </c>
      <c r="L134" s="6">
        <f t="shared" si="21"/>
        <v>4.4333333333333336</v>
      </c>
      <c r="M134" s="8">
        <v>1</v>
      </c>
      <c r="N134" s="8">
        <v>1</v>
      </c>
      <c r="P134" s="6">
        <f t="shared" si="22"/>
        <v>4.4333333333333336</v>
      </c>
      <c r="R134" s="9">
        <f t="shared" si="23"/>
        <v>8.0155248059399328E-4</v>
      </c>
      <c r="T134" s="10">
        <f>+R134*([1]assessment!$J$272*[1]assessment!$E$3)</f>
        <v>7217.265744178203</v>
      </c>
      <c r="V134" s="7">
        <f>+T134/[1]payroll!$F134</f>
        <v>3.7116197169939625E-4</v>
      </c>
      <c r="X134" s="10">
        <f>IF(V134&lt;$X$2,T134,[1]payroll!$F134*$X$2)</f>
        <v>7217.265744178203</v>
      </c>
      <c r="Z134" s="10">
        <f t="shared" si="18"/>
        <v>0</v>
      </c>
      <c r="AB134" s="1">
        <f t="shared" si="19"/>
        <v>1</v>
      </c>
    </row>
    <row r="135" spans="1:28">
      <c r="A135" s="1" t="s">
        <v>197</v>
      </c>
      <c r="B135" s="1" t="s">
        <v>198</v>
      </c>
      <c r="D135" s="88">
        <v>5</v>
      </c>
      <c r="E135" s="88">
        <v>1</v>
      </c>
      <c r="F135" s="88">
        <v>4</v>
      </c>
      <c r="G135" s="1">
        <f t="shared" si="16"/>
        <v>10</v>
      </c>
      <c r="I135" s="6">
        <f t="shared" si="17"/>
        <v>3.3333333333333335</v>
      </c>
      <c r="J135" s="7">
        <f>IFR!AD135</f>
        <v>1.6626600248899531E-2</v>
      </c>
      <c r="K135" s="8">
        <f t="shared" si="20"/>
        <v>0.95</v>
      </c>
      <c r="L135" s="6">
        <f t="shared" si="21"/>
        <v>3.1666666666666665</v>
      </c>
      <c r="M135" s="8">
        <v>1</v>
      </c>
      <c r="N135" s="8">
        <v>1</v>
      </c>
      <c r="P135" s="6">
        <f t="shared" si="22"/>
        <v>3.1666666666666665</v>
      </c>
      <c r="R135" s="9">
        <f t="shared" si="23"/>
        <v>5.725374861385666E-4</v>
      </c>
      <c r="T135" s="10">
        <f>+R135*([1]assessment!$J$272*[1]assessment!$E$3)</f>
        <v>5155.1898172701449</v>
      </c>
      <c r="V135" s="7">
        <f>+T135/[1]payroll!$F135</f>
        <v>3.717040112422678E-4</v>
      </c>
      <c r="X135" s="10">
        <f>IF(V135&lt;$X$2,T135,[1]payroll!$F135*$X$2)</f>
        <v>5155.1898172701449</v>
      </c>
      <c r="Z135" s="10">
        <f t="shared" si="18"/>
        <v>0</v>
      </c>
      <c r="AB135" s="1">
        <f t="shared" si="19"/>
        <v>1</v>
      </c>
    </row>
    <row r="136" spans="1:28">
      <c r="A136" s="1" t="s">
        <v>199</v>
      </c>
      <c r="B136" s="1" t="s">
        <v>200</v>
      </c>
      <c r="D136" s="88">
        <v>0</v>
      </c>
      <c r="E136" s="88">
        <v>0</v>
      </c>
      <c r="F136" s="88">
        <v>0</v>
      </c>
      <c r="G136" s="1">
        <f t="shared" si="16"/>
        <v>0</v>
      </c>
      <c r="I136" s="6">
        <f t="shared" si="17"/>
        <v>0</v>
      </c>
      <c r="J136" s="7">
        <f>IFR!AD136</f>
        <v>0</v>
      </c>
      <c r="K136" s="8">
        <f t="shared" si="20"/>
        <v>0.95</v>
      </c>
      <c r="L136" s="6">
        <f t="shared" si="21"/>
        <v>0</v>
      </c>
      <c r="M136" s="8">
        <v>1</v>
      </c>
      <c r="N136" s="8">
        <v>1</v>
      </c>
      <c r="P136" s="6">
        <f t="shared" si="22"/>
        <v>0</v>
      </c>
      <c r="R136" s="9">
        <f t="shared" si="23"/>
        <v>0</v>
      </c>
      <c r="T136" s="10">
        <f>+R136*([1]assessment!$J$272*[1]assessment!$E$3)</f>
        <v>0</v>
      </c>
      <c r="V136" s="7">
        <f>+T136/[1]payroll!$F136</f>
        <v>0</v>
      </c>
      <c r="X136" s="10">
        <f>IF(V136&lt;$X$2,T136,[1]payroll!$F136*$X$2)</f>
        <v>0</v>
      </c>
      <c r="Z136" s="10">
        <f t="shared" si="18"/>
        <v>0</v>
      </c>
      <c r="AB136" s="1" t="e">
        <f t="shared" si="19"/>
        <v>#DIV/0!</v>
      </c>
    </row>
    <row r="137" spans="1:28">
      <c r="A137" s="1" t="s">
        <v>201</v>
      </c>
      <c r="B137" s="1" t="s">
        <v>450</v>
      </c>
      <c r="D137" s="88">
        <v>0</v>
      </c>
      <c r="E137" s="88">
        <v>0</v>
      </c>
      <c r="F137" s="88">
        <v>0</v>
      </c>
      <c r="G137" s="1">
        <f t="shared" si="16"/>
        <v>0</v>
      </c>
      <c r="I137" s="6">
        <f t="shared" si="17"/>
        <v>0</v>
      </c>
      <c r="J137" s="7">
        <f>IFR!AD137</f>
        <v>0</v>
      </c>
      <c r="K137" s="8">
        <f t="shared" si="20"/>
        <v>0.95</v>
      </c>
      <c r="L137" s="6">
        <f t="shared" si="21"/>
        <v>0</v>
      </c>
      <c r="M137" s="8">
        <v>1</v>
      </c>
      <c r="N137" s="8">
        <v>1</v>
      </c>
      <c r="P137" s="6">
        <f t="shared" si="22"/>
        <v>0</v>
      </c>
      <c r="R137" s="9">
        <f t="shared" si="23"/>
        <v>0</v>
      </c>
      <c r="T137" s="10">
        <f>+R137*([1]assessment!$J$272*[1]assessment!$E$3)</f>
        <v>0</v>
      </c>
      <c r="V137" s="7">
        <f>+T137/[1]payroll!$F137</f>
        <v>0</v>
      </c>
      <c r="X137" s="10">
        <f>IF(V137&lt;$X$2,T137,[1]payroll!$F137*$X$2)</f>
        <v>0</v>
      </c>
      <c r="Z137" s="10">
        <f t="shared" si="18"/>
        <v>0</v>
      </c>
      <c r="AB137" s="1" t="e">
        <f t="shared" si="19"/>
        <v>#DIV/0!</v>
      </c>
    </row>
    <row r="138" spans="1:28">
      <c r="A138" s="1" t="s">
        <v>567</v>
      </c>
      <c r="B138" s="1" t="s">
        <v>569</v>
      </c>
      <c r="D138" s="88">
        <v>0</v>
      </c>
      <c r="E138" s="88">
        <v>0</v>
      </c>
      <c r="F138" s="88">
        <v>0</v>
      </c>
      <c r="G138" s="1">
        <f t="shared" si="16"/>
        <v>0</v>
      </c>
      <c r="I138" s="6">
        <f t="shared" si="17"/>
        <v>0</v>
      </c>
      <c r="J138" s="7">
        <f>IFR!AD138</f>
        <v>0</v>
      </c>
      <c r="K138" s="8">
        <f t="shared" si="20"/>
        <v>0.95</v>
      </c>
      <c r="L138" s="6">
        <f t="shared" si="21"/>
        <v>0</v>
      </c>
      <c r="M138" s="8">
        <v>1</v>
      </c>
      <c r="N138" s="8"/>
      <c r="P138" s="6">
        <f t="shared" si="22"/>
        <v>0</v>
      </c>
      <c r="R138" s="9">
        <f t="shared" si="23"/>
        <v>0</v>
      </c>
      <c r="T138" s="10">
        <f>+R138*([1]assessment!$J$272*[1]assessment!$E$3)</f>
        <v>0</v>
      </c>
      <c r="V138" s="7">
        <f>+T138/[1]payroll!$F138</f>
        <v>0</v>
      </c>
      <c r="X138" s="10">
        <f>IF(V138&lt;$X$2,T138,[1]payroll!$F138*$X$2)</f>
        <v>0</v>
      </c>
      <c r="Z138" s="10">
        <f t="shared" si="18"/>
        <v>0</v>
      </c>
      <c r="AB138" s="1" t="e">
        <f t="shared" si="19"/>
        <v>#DIV/0!</v>
      </c>
    </row>
    <row r="139" spans="1:28">
      <c r="A139" s="1" t="s">
        <v>568</v>
      </c>
      <c r="B139" s="1" t="s">
        <v>570</v>
      </c>
      <c r="D139" s="88">
        <v>0</v>
      </c>
      <c r="E139" s="88">
        <v>0</v>
      </c>
      <c r="F139" s="88">
        <v>0</v>
      </c>
      <c r="G139" s="1">
        <f t="shared" si="16"/>
        <v>0</v>
      </c>
      <c r="I139" s="6">
        <f t="shared" si="17"/>
        <v>0</v>
      </c>
      <c r="J139" s="7">
        <f>IFR!AD139</f>
        <v>0</v>
      </c>
      <c r="K139" s="8">
        <f t="shared" si="20"/>
        <v>0.95</v>
      </c>
      <c r="L139" s="6">
        <f t="shared" si="21"/>
        <v>0</v>
      </c>
      <c r="M139" s="8">
        <v>1</v>
      </c>
      <c r="N139" s="8"/>
      <c r="P139" s="6">
        <f t="shared" si="22"/>
        <v>0</v>
      </c>
      <c r="R139" s="9">
        <f t="shared" si="23"/>
        <v>0</v>
      </c>
      <c r="T139" s="10">
        <f>+R139*([1]assessment!$J$272*[1]assessment!$E$3)</f>
        <v>0</v>
      </c>
      <c r="V139" s="7">
        <f>+T139/[1]payroll!$F139</f>
        <v>0</v>
      </c>
      <c r="X139" s="10">
        <f>IF(V139&lt;$X$2,T139,[1]payroll!$F139*$X$2)</f>
        <v>0</v>
      </c>
      <c r="Z139" s="10">
        <f t="shared" si="18"/>
        <v>0</v>
      </c>
      <c r="AB139" s="1" t="e">
        <f t="shared" si="19"/>
        <v>#DIV/0!</v>
      </c>
    </row>
    <row r="140" spans="1:28" outlineLevel="1">
      <c r="A140" s="1" t="s">
        <v>202</v>
      </c>
      <c r="B140" s="1" t="s">
        <v>203</v>
      </c>
      <c r="D140" s="88">
        <v>0</v>
      </c>
      <c r="E140" s="88">
        <v>0</v>
      </c>
      <c r="F140" s="88">
        <v>0</v>
      </c>
      <c r="G140" s="1">
        <f t="shared" ref="G140:G172" si="24">SUM(D140:F140)</f>
        <v>0</v>
      </c>
      <c r="I140" s="6">
        <f t="shared" ref="I140:I172" si="25">AVERAGE(D140:F140)</f>
        <v>0</v>
      </c>
      <c r="J140" s="7">
        <f>IFR!AD140</f>
        <v>0</v>
      </c>
      <c r="K140" s="8">
        <f t="shared" si="20"/>
        <v>0.95</v>
      </c>
      <c r="L140" s="6">
        <f t="shared" ref="L140:L203" si="26">+I140*K140</f>
        <v>0</v>
      </c>
      <c r="M140" s="8">
        <v>1</v>
      </c>
      <c r="N140" s="8">
        <v>1</v>
      </c>
      <c r="P140" s="6">
        <f t="shared" ref="P140:P203" si="27">+L140*M140*N140</f>
        <v>0</v>
      </c>
      <c r="R140" s="9">
        <f t="shared" si="23"/>
        <v>0</v>
      </c>
      <c r="T140" s="10">
        <f>+R140*([1]assessment!$J$272*[1]assessment!$E$3)</f>
        <v>0</v>
      </c>
      <c r="V140" s="7">
        <f>+T140/[1]payroll!$F140</f>
        <v>0</v>
      </c>
      <c r="X140" s="10">
        <f>IF(V140&lt;$X$2,T140,[1]payroll!$F140*$X$2)</f>
        <v>0</v>
      </c>
      <c r="Z140" s="10">
        <f t="shared" ref="Z140:Z203" si="28">+T140-X140</f>
        <v>0</v>
      </c>
      <c r="AB140" s="1" t="e">
        <f t="shared" ref="AB140:AB172" si="29">+X140/T140</f>
        <v>#DIV/0!</v>
      </c>
    </row>
    <row r="141" spans="1:28" outlineLevel="1">
      <c r="A141" s="1" t="s">
        <v>204</v>
      </c>
      <c r="B141" s="1" t="s">
        <v>205</v>
      </c>
      <c r="D141" s="88">
        <v>0</v>
      </c>
      <c r="E141" s="88">
        <v>0</v>
      </c>
      <c r="F141" s="88">
        <v>0</v>
      </c>
      <c r="G141" s="1">
        <f t="shared" si="24"/>
        <v>0</v>
      </c>
      <c r="I141" s="6">
        <f t="shared" si="25"/>
        <v>0</v>
      </c>
      <c r="J141" s="7">
        <f>IFR!AD141</f>
        <v>0</v>
      </c>
      <c r="K141" s="8">
        <f t="shared" si="20"/>
        <v>0.95</v>
      </c>
      <c r="L141" s="6">
        <f t="shared" si="26"/>
        <v>0</v>
      </c>
      <c r="M141" s="8">
        <v>1</v>
      </c>
      <c r="N141" s="8">
        <v>1</v>
      </c>
      <c r="P141" s="6">
        <f t="shared" si="27"/>
        <v>0</v>
      </c>
      <c r="R141" s="9">
        <f t="shared" si="23"/>
        <v>0</v>
      </c>
      <c r="T141" s="10">
        <f>+R141*([1]assessment!$J$272*[1]assessment!$E$3)</f>
        <v>0</v>
      </c>
      <c r="V141" s="7">
        <f>+T141/[1]payroll!$F141</f>
        <v>0</v>
      </c>
      <c r="X141" s="10">
        <f>IF(V141&lt;$X$2,T141,[1]payroll!$F141*$X$2)</f>
        <v>0</v>
      </c>
      <c r="Z141" s="10">
        <f t="shared" si="28"/>
        <v>0</v>
      </c>
      <c r="AB141" s="1" t="e">
        <f t="shared" si="29"/>
        <v>#DIV/0!</v>
      </c>
    </row>
    <row r="142" spans="1:28" outlineLevel="1">
      <c r="A142" s="1" t="s">
        <v>206</v>
      </c>
      <c r="B142" s="1" t="s">
        <v>207</v>
      </c>
      <c r="D142" s="88">
        <v>0</v>
      </c>
      <c r="E142" s="88">
        <v>0</v>
      </c>
      <c r="F142" s="88">
        <v>0</v>
      </c>
      <c r="G142" s="1">
        <f t="shared" si="24"/>
        <v>0</v>
      </c>
      <c r="I142" s="6">
        <f t="shared" si="25"/>
        <v>0</v>
      </c>
      <c r="J142" s="7">
        <f>IFR!AD142</f>
        <v>0</v>
      </c>
      <c r="K142" s="8">
        <f t="shared" si="20"/>
        <v>0.95</v>
      </c>
      <c r="L142" s="6">
        <f t="shared" si="26"/>
        <v>0</v>
      </c>
      <c r="M142" s="8">
        <v>1</v>
      </c>
      <c r="N142" s="8">
        <v>1</v>
      </c>
      <c r="P142" s="6">
        <f t="shared" si="27"/>
        <v>0</v>
      </c>
      <c r="R142" s="9">
        <f t="shared" si="23"/>
        <v>0</v>
      </c>
      <c r="T142" s="10">
        <f>+R142*([1]assessment!$J$272*[1]assessment!$E$3)</f>
        <v>0</v>
      </c>
      <c r="V142" s="7">
        <f>+T142/[1]payroll!$F142</f>
        <v>0</v>
      </c>
      <c r="X142" s="10">
        <f>IF(V142&lt;$X$2,T142,[1]payroll!$F142*$X$2)</f>
        <v>0</v>
      </c>
      <c r="Z142" s="10">
        <f t="shared" si="28"/>
        <v>0</v>
      </c>
      <c r="AB142" s="1" t="e">
        <f t="shared" si="29"/>
        <v>#DIV/0!</v>
      </c>
    </row>
    <row r="143" spans="1:28" outlineLevel="1">
      <c r="A143" s="1" t="s">
        <v>491</v>
      </c>
      <c r="B143" s="1" t="s">
        <v>559</v>
      </c>
      <c r="D143" s="88">
        <v>0</v>
      </c>
      <c r="E143" s="88">
        <v>1</v>
      </c>
      <c r="F143" s="88">
        <v>1</v>
      </c>
      <c r="G143" s="1">
        <f t="shared" si="24"/>
        <v>2</v>
      </c>
      <c r="I143" s="6">
        <f t="shared" si="25"/>
        <v>0.66666666666666663</v>
      </c>
      <c r="J143" s="7">
        <f>IFR!AD143</f>
        <v>8.3333333333333332E-3</v>
      </c>
      <c r="K143" s="8">
        <f t="shared" si="20"/>
        <v>0.95</v>
      </c>
      <c r="L143" s="6">
        <f t="shared" si="26"/>
        <v>0.6333333333333333</v>
      </c>
      <c r="M143" s="8">
        <v>1</v>
      </c>
      <c r="N143" s="8">
        <v>1</v>
      </c>
      <c r="P143" s="6">
        <f t="shared" si="27"/>
        <v>0.6333333333333333</v>
      </c>
      <c r="R143" s="9">
        <f t="shared" si="23"/>
        <v>1.1450749722771331E-4</v>
      </c>
      <c r="T143" s="10">
        <f>+R143*([1]assessment!$J$272*[1]assessment!$E$3)</f>
        <v>1031.0379634540288</v>
      </c>
      <c r="V143" s="7">
        <f>+T143/[1]payroll!$F143</f>
        <v>9.7588418685989322E-4</v>
      </c>
      <c r="X143" s="10">
        <f>IF(V143&lt;$X$2,T143,[1]payroll!$F143*$X$2)</f>
        <v>1031.0379634540288</v>
      </c>
      <c r="Z143" s="10">
        <f t="shared" si="28"/>
        <v>0</v>
      </c>
      <c r="AB143" s="1">
        <f t="shared" si="29"/>
        <v>1</v>
      </c>
    </row>
    <row r="144" spans="1:28" outlineLevel="1">
      <c r="A144" s="48" t="s">
        <v>595</v>
      </c>
      <c r="B144" s="48" t="s">
        <v>596</v>
      </c>
      <c r="D144" s="88">
        <v>0</v>
      </c>
      <c r="E144" s="88">
        <v>0</v>
      </c>
      <c r="F144" s="88">
        <v>0</v>
      </c>
      <c r="G144" s="1">
        <f t="shared" si="24"/>
        <v>0</v>
      </c>
      <c r="I144" s="6">
        <f t="shared" si="25"/>
        <v>0</v>
      </c>
      <c r="J144" s="7">
        <f>IFR!AD144</f>
        <v>0</v>
      </c>
      <c r="K144" s="8">
        <f t="shared" si="20"/>
        <v>0.95</v>
      </c>
      <c r="L144" s="6">
        <f t="shared" si="26"/>
        <v>0</v>
      </c>
      <c r="M144" s="8">
        <v>1</v>
      </c>
      <c r="N144" s="8"/>
      <c r="P144" s="6">
        <f t="shared" si="27"/>
        <v>0</v>
      </c>
      <c r="R144" s="9">
        <f t="shared" si="23"/>
        <v>0</v>
      </c>
      <c r="T144" s="10">
        <f>+R144*([1]assessment!$J$272*[1]assessment!$E$3)</f>
        <v>0</v>
      </c>
      <c r="V144" s="7">
        <f>+T144/[1]payroll!$F144</f>
        <v>0</v>
      </c>
      <c r="X144" s="10">
        <f>IF(V144&lt;$X$2,T144,[1]payroll!$F144*$X$2)</f>
        <v>0</v>
      </c>
      <c r="Z144" s="10">
        <f t="shared" si="28"/>
        <v>0</v>
      </c>
    </row>
    <row r="145" spans="1:28" outlineLevel="1">
      <c r="A145" s="1" t="s">
        <v>208</v>
      </c>
      <c r="B145" s="1" t="s">
        <v>209</v>
      </c>
      <c r="D145" s="88">
        <v>0</v>
      </c>
      <c r="E145" s="88">
        <v>0</v>
      </c>
      <c r="F145" s="88">
        <v>0</v>
      </c>
      <c r="G145" s="1">
        <f t="shared" si="24"/>
        <v>0</v>
      </c>
      <c r="I145" s="6">
        <f t="shared" si="25"/>
        <v>0</v>
      </c>
      <c r="J145" s="7">
        <f>IFR!AD145</f>
        <v>0</v>
      </c>
      <c r="K145" s="8">
        <f t="shared" si="20"/>
        <v>0.95</v>
      </c>
      <c r="L145" s="6">
        <f t="shared" si="26"/>
        <v>0</v>
      </c>
      <c r="M145" s="8">
        <v>1</v>
      </c>
      <c r="N145" s="8">
        <v>1</v>
      </c>
      <c r="P145" s="6">
        <f t="shared" si="27"/>
        <v>0</v>
      </c>
      <c r="R145" s="9">
        <f t="shared" si="23"/>
        <v>0</v>
      </c>
      <c r="T145" s="10">
        <f>+R145*([1]assessment!$J$272*[1]assessment!$E$3)</f>
        <v>0</v>
      </c>
      <c r="V145" s="7">
        <f>+T145/[1]payroll!$F145</f>
        <v>0</v>
      </c>
      <c r="X145" s="10">
        <f>IF(V145&lt;$X$2,T145,[1]payroll!$F145*$X$2)</f>
        <v>0</v>
      </c>
      <c r="Z145" s="10">
        <f t="shared" si="28"/>
        <v>0</v>
      </c>
      <c r="AB145" s="1" t="e">
        <f t="shared" si="29"/>
        <v>#DIV/0!</v>
      </c>
    </row>
    <row r="146" spans="1:28" outlineLevel="1">
      <c r="A146" s="1" t="s">
        <v>210</v>
      </c>
      <c r="B146" s="1" t="s">
        <v>211</v>
      </c>
      <c r="D146" s="88">
        <v>0</v>
      </c>
      <c r="E146" s="88">
        <v>0</v>
      </c>
      <c r="F146" s="88">
        <v>0</v>
      </c>
      <c r="G146" s="1">
        <f t="shared" si="24"/>
        <v>0</v>
      </c>
      <c r="I146" s="6">
        <f t="shared" si="25"/>
        <v>0</v>
      </c>
      <c r="J146" s="7">
        <f>IFR!AD146</f>
        <v>0</v>
      </c>
      <c r="K146" s="8">
        <f t="shared" si="20"/>
        <v>0.95</v>
      </c>
      <c r="L146" s="6">
        <f t="shared" si="26"/>
        <v>0</v>
      </c>
      <c r="M146" s="8">
        <v>1</v>
      </c>
      <c r="N146" s="8">
        <v>1</v>
      </c>
      <c r="P146" s="6">
        <f t="shared" si="27"/>
        <v>0</v>
      </c>
      <c r="R146" s="9">
        <f t="shared" si="23"/>
        <v>0</v>
      </c>
      <c r="T146" s="10">
        <f>+R146*([1]assessment!$J$272*[1]assessment!$E$3)</f>
        <v>0</v>
      </c>
      <c r="V146" s="7">
        <f>+T146/[1]payroll!$F146</f>
        <v>0</v>
      </c>
      <c r="X146" s="10">
        <f>IF(V146&lt;$X$2,T146,[1]payroll!$F146*$X$2)</f>
        <v>0</v>
      </c>
      <c r="Z146" s="10">
        <f t="shared" si="28"/>
        <v>0</v>
      </c>
      <c r="AB146" s="1" t="e">
        <f t="shared" si="29"/>
        <v>#DIV/0!</v>
      </c>
    </row>
    <row r="147" spans="1:28" outlineLevel="1">
      <c r="A147" s="1" t="s">
        <v>212</v>
      </c>
      <c r="B147" s="1" t="s">
        <v>213</v>
      </c>
      <c r="D147" s="88">
        <v>2</v>
      </c>
      <c r="E147" s="88">
        <v>2</v>
      </c>
      <c r="F147" s="88">
        <v>1</v>
      </c>
      <c r="G147" s="1">
        <f t="shared" si="24"/>
        <v>5</v>
      </c>
      <c r="I147" s="6">
        <f t="shared" si="25"/>
        <v>1.6666666666666667</v>
      </c>
      <c r="J147" s="7">
        <f>IFR!AD147</f>
        <v>1.4999999999999999E-2</v>
      </c>
      <c r="K147" s="8">
        <f t="shared" si="20"/>
        <v>0.95</v>
      </c>
      <c r="L147" s="6">
        <f t="shared" si="26"/>
        <v>1.5833333333333333</v>
      </c>
      <c r="M147" s="8">
        <v>1</v>
      </c>
      <c r="N147" s="8">
        <v>1</v>
      </c>
      <c r="P147" s="6">
        <f t="shared" si="27"/>
        <v>1.5833333333333333</v>
      </c>
      <c r="R147" s="9">
        <f t="shared" si="23"/>
        <v>2.862687430692833E-4</v>
      </c>
      <c r="T147" s="10">
        <f>+R147*([1]assessment!$J$272*[1]assessment!$E$3)</f>
        <v>2577.5949086350724</v>
      </c>
      <c r="V147" s="7">
        <f>+T147/[1]payroll!$F147</f>
        <v>8.5959244177210464E-4</v>
      </c>
      <c r="X147" s="10">
        <f>IF(V147&lt;$X$2,T147,[1]payroll!$F147*$X$2)</f>
        <v>2577.5949086350724</v>
      </c>
      <c r="Z147" s="10">
        <f t="shared" si="28"/>
        <v>0</v>
      </c>
      <c r="AB147" s="1">
        <f t="shared" si="29"/>
        <v>1</v>
      </c>
    </row>
    <row r="148" spans="1:28" outlineLevel="1">
      <c r="A148" s="1" t="s">
        <v>214</v>
      </c>
      <c r="B148" s="1" t="s">
        <v>215</v>
      </c>
      <c r="D148" s="88">
        <v>4</v>
      </c>
      <c r="E148" s="88">
        <v>12</v>
      </c>
      <c r="F148" s="88">
        <v>6</v>
      </c>
      <c r="G148" s="1">
        <f t="shared" si="24"/>
        <v>22</v>
      </c>
      <c r="I148" s="6">
        <f t="shared" si="25"/>
        <v>7.333333333333333</v>
      </c>
      <c r="J148" s="7">
        <f>IFR!AD148</f>
        <v>1.8630510404354008E-2</v>
      </c>
      <c r="K148" s="8">
        <f t="shared" si="20"/>
        <v>0.95</v>
      </c>
      <c r="L148" s="6">
        <f t="shared" si="26"/>
        <v>6.9666666666666659</v>
      </c>
      <c r="M148" s="8">
        <v>1</v>
      </c>
      <c r="N148" s="8">
        <v>1</v>
      </c>
      <c r="P148" s="6">
        <f t="shared" si="27"/>
        <v>6.9666666666666659</v>
      </c>
      <c r="R148" s="9">
        <f t="shared" si="23"/>
        <v>1.2595824695048464E-3</v>
      </c>
      <c r="T148" s="10">
        <f>+R148*([1]assessment!$J$272*[1]assessment!$E$3)</f>
        <v>11341.417597994317</v>
      </c>
      <c r="V148" s="7">
        <f>+T148/[1]payroll!$F148</f>
        <v>5.5869508158016374E-4</v>
      </c>
      <c r="X148" s="10">
        <f>IF(V148&lt;$X$2,T148,[1]payroll!$F148*$X$2)</f>
        <v>11341.417597994317</v>
      </c>
      <c r="Z148" s="10">
        <f t="shared" si="28"/>
        <v>0</v>
      </c>
      <c r="AB148" s="1">
        <f t="shared" si="29"/>
        <v>1</v>
      </c>
    </row>
    <row r="149" spans="1:28" outlineLevel="1">
      <c r="A149" s="1" t="s">
        <v>216</v>
      </c>
      <c r="B149" s="1" t="s">
        <v>217</v>
      </c>
      <c r="D149" s="88">
        <v>0</v>
      </c>
      <c r="E149" s="88">
        <v>0</v>
      </c>
      <c r="F149" s="88">
        <v>0</v>
      </c>
      <c r="G149" s="1">
        <f t="shared" si="24"/>
        <v>0</v>
      </c>
      <c r="I149" s="6">
        <f t="shared" si="25"/>
        <v>0</v>
      </c>
      <c r="J149" s="7">
        <f>IFR!AD149</f>
        <v>0</v>
      </c>
      <c r="K149" s="8">
        <f t="shared" si="20"/>
        <v>0.95</v>
      </c>
      <c r="L149" s="6">
        <f t="shared" si="26"/>
        <v>0</v>
      </c>
      <c r="M149" s="8">
        <v>1</v>
      </c>
      <c r="N149" s="8">
        <v>1</v>
      </c>
      <c r="P149" s="6">
        <f t="shared" si="27"/>
        <v>0</v>
      </c>
      <c r="R149" s="9">
        <f t="shared" si="23"/>
        <v>0</v>
      </c>
      <c r="T149" s="10">
        <f>+R149*([1]assessment!$J$272*[1]assessment!$E$3)</f>
        <v>0</v>
      </c>
      <c r="V149" s="7">
        <f>+T149/[1]payroll!$F149</f>
        <v>0</v>
      </c>
      <c r="X149" s="10">
        <f>IF(V149&lt;$X$2,T149,[1]payroll!$F149*$X$2)</f>
        <v>0</v>
      </c>
      <c r="Z149" s="10">
        <f t="shared" si="28"/>
        <v>0</v>
      </c>
      <c r="AB149" s="1" t="e">
        <f t="shared" si="29"/>
        <v>#DIV/0!</v>
      </c>
    </row>
    <row r="150" spans="1:28" outlineLevel="1">
      <c r="A150" s="1" t="s">
        <v>218</v>
      </c>
      <c r="B150" s="1" t="s">
        <v>219</v>
      </c>
      <c r="D150" s="88">
        <v>0</v>
      </c>
      <c r="E150" s="88">
        <v>0</v>
      </c>
      <c r="F150" s="88">
        <v>0</v>
      </c>
      <c r="G150" s="1">
        <f t="shared" si="24"/>
        <v>0</v>
      </c>
      <c r="I150" s="6">
        <f t="shared" si="25"/>
        <v>0</v>
      </c>
      <c r="J150" s="7">
        <f>IFR!AD150</f>
        <v>0</v>
      </c>
      <c r="K150" s="8">
        <f t="shared" si="20"/>
        <v>0.95</v>
      </c>
      <c r="L150" s="6">
        <f t="shared" si="26"/>
        <v>0</v>
      </c>
      <c r="M150" s="8">
        <v>1</v>
      </c>
      <c r="N150" s="8">
        <v>1</v>
      </c>
      <c r="P150" s="6">
        <f t="shared" si="27"/>
        <v>0</v>
      </c>
      <c r="R150" s="9">
        <f t="shared" si="23"/>
        <v>0</v>
      </c>
      <c r="T150" s="10">
        <f>+R150*([1]assessment!$J$272*[1]assessment!$E$3)</f>
        <v>0</v>
      </c>
      <c r="V150" s="7">
        <f>+T150/[1]payroll!$F150</f>
        <v>0</v>
      </c>
      <c r="X150" s="10">
        <f>IF(V150&lt;$X$2,T150,[1]payroll!$F150*$X$2)</f>
        <v>0</v>
      </c>
      <c r="Z150" s="10">
        <f t="shared" si="28"/>
        <v>0</v>
      </c>
      <c r="AB150" s="1" t="e">
        <f t="shared" si="29"/>
        <v>#DIV/0!</v>
      </c>
    </row>
    <row r="151" spans="1:28" outlineLevel="1">
      <c r="A151" s="1" t="s">
        <v>220</v>
      </c>
      <c r="B151" s="1" t="s">
        <v>221</v>
      </c>
      <c r="D151" s="88">
        <v>0</v>
      </c>
      <c r="E151" s="88">
        <v>0</v>
      </c>
      <c r="F151" s="88">
        <v>0</v>
      </c>
      <c r="G151" s="1">
        <f t="shared" si="24"/>
        <v>0</v>
      </c>
      <c r="I151" s="6">
        <f t="shared" si="25"/>
        <v>0</v>
      </c>
      <c r="J151" s="7">
        <f>IFR!AD151</f>
        <v>0</v>
      </c>
      <c r="K151" s="8">
        <f t="shared" si="20"/>
        <v>0.95</v>
      </c>
      <c r="L151" s="6">
        <f t="shared" si="26"/>
        <v>0</v>
      </c>
      <c r="M151" s="8">
        <v>1</v>
      </c>
      <c r="N151" s="8">
        <v>1</v>
      </c>
      <c r="P151" s="6">
        <f t="shared" si="27"/>
        <v>0</v>
      </c>
      <c r="R151" s="9">
        <f t="shared" si="23"/>
        <v>0</v>
      </c>
      <c r="T151" s="10">
        <f>+R151*([1]assessment!$J$272*[1]assessment!$E$3)</f>
        <v>0</v>
      </c>
      <c r="V151" s="7">
        <f>+T151/[1]payroll!$F151</f>
        <v>0</v>
      </c>
      <c r="X151" s="10">
        <f>IF(V151&lt;$X$2,T151,[1]payroll!$F151*$X$2)</f>
        <v>0</v>
      </c>
      <c r="Z151" s="10">
        <f t="shared" si="28"/>
        <v>0</v>
      </c>
      <c r="AB151" s="1" t="e">
        <f t="shared" si="29"/>
        <v>#DIV/0!</v>
      </c>
    </row>
    <row r="152" spans="1:28" outlineLevel="1">
      <c r="A152" s="1" t="s">
        <v>222</v>
      </c>
      <c r="B152" s="1" t="s">
        <v>223</v>
      </c>
      <c r="D152" s="88">
        <v>0</v>
      </c>
      <c r="E152" s="88">
        <v>0</v>
      </c>
      <c r="F152" s="88">
        <v>0</v>
      </c>
      <c r="G152" s="1">
        <f t="shared" si="24"/>
        <v>0</v>
      </c>
      <c r="I152" s="6">
        <f t="shared" si="25"/>
        <v>0</v>
      </c>
      <c r="J152" s="7">
        <f>IFR!AD152</f>
        <v>0</v>
      </c>
      <c r="K152" s="8">
        <f t="shared" si="20"/>
        <v>0.95</v>
      </c>
      <c r="L152" s="6">
        <f t="shared" si="26"/>
        <v>0</v>
      </c>
      <c r="M152" s="8">
        <v>1</v>
      </c>
      <c r="N152" s="8">
        <v>1</v>
      </c>
      <c r="P152" s="6">
        <f t="shared" si="27"/>
        <v>0</v>
      </c>
      <c r="R152" s="9">
        <f t="shared" si="23"/>
        <v>0</v>
      </c>
      <c r="T152" s="10">
        <f>+R152*([1]assessment!$J$272*[1]assessment!$E$3)</f>
        <v>0</v>
      </c>
      <c r="V152" s="7">
        <f>+T152/[1]payroll!$F152</f>
        <v>0</v>
      </c>
      <c r="X152" s="10">
        <f>IF(V152&lt;$X$2,T152,[1]payroll!$F152*$X$2)</f>
        <v>0</v>
      </c>
      <c r="Z152" s="10">
        <f t="shared" si="28"/>
        <v>0</v>
      </c>
      <c r="AB152" s="1" t="e">
        <f t="shared" si="29"/>
        <v>#DIV/0!</v>
      </c>
    </row>
    <row r="153" spans="1:28" outlineLevel="1">
      <c r="A153" s="1" t="s">
        <v>224</v>
      </c>
      <c r="B153" s="1" t="s">
        <v>225</v>
      </c>
      <c r="D153" s="88">
        <v>0</v>
      </c>
      <c r="E153" s="88">
        <v>0</v>
      </c>
      <c r="F153" s="88">
        <v>0</v>
      </c>
      <c r="G153" s="1">
        <f t="shared" si="24"/>
        <v>0</v>
      </c>
      <c r="I153" s="6">
        <f t="shared" si="25"/>
        <v>0</v>
      </c>
      <c r="J153" s="7">
        <f>IFR!AD153</f>
        <v>0</v>
      </c>
      <c r="K153" s="8">
        <f t="shared" si="20"/>
        <v>0.95</v>
      </c>
      <c r="L153" s="6">
        <f t="shared" si="26"/>
        <v>0</v>
      </c>
      <c r="M153" s="8">
        <v>1</v>
      </c>
      <c r="N153" s="8">
        <v>1</v>
      </c>
      <c r="P153" s="6">
        <f t="shared" si="27"/>
        <v>0</v>
      </c>
      <c r="R153" s="9">
        <f t="shared" si="23"/>
        <v>0</v>
      </c>
      <c r="T153" s="10">
        <f>+R153*([1]assessment!$J$272*[1]assessment!$E$3)</f>
        <v>0</v>
      </c>
      <c r="V153" s="7">
        <f>+T153/[1]payroll!$F153</f>
        <v>0</v>
      </c>
      <c r="X153" s="10">
        <f>IF(V153&lt;$X$2,T153,[1]payroll!$F153*$X$2)</f>
        <v>0</v>
      </c>
      <c r="Z153" s="10">
        <f t="shared" si="28"/>
        <v>0</v>
      </c>
      <c r="AB153" s="1" t="e">
        <f t="shared" si="29"/>
        <v>#DIV/0!</v>
      </c>
    </row>
    <row r="154" spans="1:28" outlineLevel="1">
      <c r="A154" s="1" t="s">
        <v>226</v>
      </c>
      <c r="B154" s="1" t="s">
        <v>227</v>
      </c>
      <c r="D154" s="88">
        <v>1</v>
      </c>
      <c r="E154" s="88">
        <v>2</v>
      </c>
      <c r="F154" s="88">
        <v>1</v>
      </c>
      <c r="G154" s="1">
        <f t="shared" si="24"/>
        <v>4</v>
      </c>
      <c r="I154" s="6">
        <f t="shared" si="25"/>
        <v>1.3333333333333333</v>
      </c>
      <c r="J154" s="7">
        <f>IFR!AD154</f>
        <v>1.2940223928934949E-2</v>
      </c>
      <c r="K154" s="8">
        <f t="shared" si="20"/>
        <v>0.95</v>
      </c>
      <c r="L154" s="6">
        <f t="shared" si="26"/>
        <v>1.2666666666666666</v>
      </c>
      <c r="M154" s="8">
        <v>1</v>
      </c>
      <c r="N154" s="8">
        <v>1</v>
      </c>
      <c r="P154" s="6">
        <f t="shared" si="27"/>
        <v>1.2666666666666666</v>
      </c>
      <c r="R154" s="9">
        <f t="shared" si="23"/>
        <v>2.2901499445542663E-4</v>
      </c>
      <c r="T154" s="10">
        <f>+R154*([1]assessment!$J$272*[1]assessment!$E$3)</f>
        <v>2062.0759269080577</v>
      </c>
      <c r="V154" s="7">
        <f>+T154/[1]payroll!$F154</f>
        <v>3.8136318061294741E-4</v>
      </c>
      <c r="X154" s="10">
        <f>IF(V154&lt;$X$2,T154,[1]payroll!$F154*$X$2)</f>
        <v>2062.0759269080577</v>
      </c>
      <c r="Z154" s="10">
        <f t="shared" si="28"/>
        <v>0</v>
      </c>
      <c r="AB154" s="1">
        <f t="shared" si="29"/>
        <v>1</v>
      </c>
    </row>
    <row r="155" spans="1:28" outlineLevel="1">
      <c r="A155" s="1" t="s">
        <v>228</v>
      </c>
      <c r="B155" s="1" t="s">
        <v>229</v>
      </c>
      <c r="D155" s="88">
        <v>1</v>
      </c>
      <c r="E155" s="88">
        <v>4</v>
      </c>
      <c r="F155" s="88">
        <v>0</v>
      </c>
      <c r="G155" s="1">
        <f t="shared" si="24"/>
        <v>5</v>
      </c>
      <c r="I155" s="6">
        <f t="shared" si="25"/>
        <v>1.6666666666666667</v>
      </c>
      <c r="J155" s="7">
        <f>IFR!AD155</f>
        <v>1.350010725010725E-2</v>
      </c>
      <c r="K155" s="8">
        <f t="shared" si="20"/>
        <v>0.95</v>
      </c>
      <c r="L155" s="6">
        <f t="shared" si="26"/>
        <v>1.5833333333333333</v>
      </c>
      <c r="M155" s="8">
        <v>1</v>
      </c>
      <c r="N155" s="8">
        <v>1</v>
      </c>
      <c r="P155" s="6">
        <f t="shared" si="27"/>
        <v>1.5833333333333333</v>
      </c>
      <c r="R155" s="9">
        <f t="shared" si="23"/>
        <v>2.862687430692833E-4</v>
      </c>
      <c r="T155" s="10">
        <f>+R155*([1]assessment!$J$272*[1]assessment!$E$3)</f>
        <v>2577.5949086350724</v>
      </c>
      <c r="V155" s="7">
        <f>+T155/[1]payroll!$F155</f>
        <v>4.9907145654019727E-4</v>
      </c>
      <c r="X155" s="10">
        <f>IF(V155&lt;$X$2,T155,[1]payroll!$F155*$X$2)</f>
        <v>2577.5949086350724</v>
      </c>
      <c r="Z155" s="10">
        <f t="shared" si="28"/>
        <v>0</v>
      </c>
      <c r="AB155" s="1">
        <f t="shared" si="29"/>
        <v>1</v>
      </c>
    </row>
    <row r="156" spans="1:28" outlineLevel="1">
      <c r="A156" s="1" t="s">
        <v>230</v>
      </c>
      <c r="B156" s="1" t="s">
        <v>231</v>
      </c>
      <c r="D156" s="88">
        <v>0</v>
      </c>
      <c r="E156" s="88">
        <v>0</v>
      </c>
      <c r="F156" s="88">
        <v>1</v>
      </c>
      <c r="G156" s="1">
        <f t="shared" si="24"/>
        <v>1</v>
      </c>
      <c r="I156" s="6">
        <f t="shared" si="25"/>
        <v>0.33333333333333331</v>
      </c>
      <c r="J156" s="7">
        <f>IFR!AD156</f>
        <v>5.0000000000000001E-3</v>
      </c>
      <c r="K156" s="8">
        <f t="shared" si="20"/>
        <v>0.95</v>
      </c>
      <c r="L156" s="6">
        <f t="shared" si="26"/>
        <v>0.31666666666666665</v>
      </c>
      <c r="M156" s="8">
        <v>1</v>
      </c>
      <c r="N156" s="8">
        <v>1</v>
      </c>
      <c r="P156" s="6">
        <f t="shared" si="27"/>
        <v>0.31666666666666665</v>
      </c>
      <c r="R156" s="9">
        <f t="shared" si="23"/>
        <v>5.7253748613856657E-5</v>
      </c>
      <c r="T156" s="10">
        <f>+R156*([1]assessment!$J$272*[1]assessment!$E$3)</f>
        <v>515.51898172701442</v>
      </c>
      <c r="V156" s="7">
        <f>+T156/[1]payroll!$F156</f>
        <v>8.6587047224387175E-4</v>
      </c>
      <c r="X156" s="10">
        <f>IF(V156&lt;$X$2,T156,[1]payroll!$F156*$X$2)</f>
        <v>515.51898172701442</v>
      </c>
      <c r="Z156" s="10">
        <f t="shared" si="28"/>
        <v>0</v>
      </c>
      <c r="AB156" s="1">
        <f t="shared" si="29"/>
        <v>1</v>
      </c>
    </row>
    <row r="157" spans="1:28" outlineLevel="1">
      <c r="A157" s="1" t="s">
        <v>571</v>
      </c>
      <c r="B157" s="1" t="s">
        <v>572</v>
      </c>
      <c r="D157" s="88">
        <v>0</v>
      </c>
      <c r="E157" s="88">
        <v>0</v>
      </c>
      <c r="F157" s="88">
        <v>0</v>
      </c>
      <c r="G157" s="1">
        <f t="shared" si="24"/>
        <v>0</v>
      </c>
      <c r="I157" s="6">
        <f t="shared" si="25"/>
        <v>0</v>
      </c>
      <c r="J157" s="7">
        <f>IFR!AD157</f>
        <v>0</v>
      </c>
      <c r="K157" s="8">
        <f t="shared" si="20"/>
        <v>0.95</v>
      </c>
      <c r="L157" s="6">
        <f t="shared" si="26"/>
        <v>0</v>
      </c>
      <c r="M157" s="8">
        <v>1</v>
      </c>
      <c r="N157" s="8"/>
      <c r="P157" s="6">
        <f t="shared" si="27"/>
        <v>0</v>
      </c>
      <c r="R157" s="9">
        <f t="shared" si="23"/>
        <v>0</v>
      </c>
      <c r="T157" s="10">
        <f>+R157*([1]assessment!$J$272*[1]assessment!$E$3)</f>
        <v>0</v>
      </c>
      <c r="V157" s="7">
        <f>+T157/[1]payroll!$F157</f>
        <v>0</v>
      </c>
      <c r="X157" s="10">
        <f>IF(V157&lt;$X$2,T157,[1]payroll!$F157*$X$2)</f>
        <v>0</v>
      </c>
      <c r="Z157" s="10">
        <f t="shared" si="28"/>
        <v>0</v>
      </c>
      <c r="AB157" s="1" t="e">
        <f t="shared" si="29"/>
        <v>#DIV/0!</v>
      </c>
    </row>
    <row r="158" spans="1:28" outlineLevel="1">
      <c r="A158" s="1" t="s">
        <v>232</v>
      </c>
      <c r="B158" s="1" t="s">
        <v>233</v>
      </c>
      <c r="D158" s="88">
        <v>0</v>
      </c>
      <c r="E158" s="88">
        <v>0</v>
      </c>
      <c r="F158" s="88">
        <v>0</v>
      </c>
      <c r="G158" s="1">
        <f t="shared" si="24"/>
        <v>0</v>
      </c>
      <c r="I158" s="6">
        <f t="shared" si="25"/>
        <v>0</v>
      </c>
      <c r="J158" s="7">
        <f>IFR!AD158</f>
        <v>0</v>
      </c>
      <c r="K158" s="8">
        <f t="shared" si="20"/>
        <v>0.95</v>
      </c>
      <c r="L158" s="6">
        <f t="shared" si="26"/>
        <v>0</v>
      </c>
      <c r="M158" s="8">
        <v>1</v>
      </c>
      <c r="N158" s="8">
        <v>1</v>
      </c>
      <c r="P158" s="6">
        <f t="shared" si="27"/>
        <v>0</v>
      </c>
      <c r="R158" s="9">
        <f t="shared" si="23"/>
        <v>0</v>
      </c>
      <c r="T158" s="10">
        <f>+R158*([1]assessment!$J$272*[1]assessment!$E$3)</f>
        <v>0</v>
      </c>
      <c r="V158" s="7">
        <f>+T158/[1]payroll!$F158</f>
        <v>0</v>
      </c>
      <c r="X158" s="10">
        <f>IF(V158&lt;$X$2,T158,[1]payroll!$F158*$X$2)</f>
        <v>0</v>
      </c>
      <c r="Z158" s="10">
        <f t="shared" si="28"/>
        <v>0</v>
      </c>
      <c r="AB158" s="1" t="e">
        <f t="shared" si="29"/>
        <v>#DIV/0!</v>
      </c>
    </row>
    <row r="159" spans="1:28" outlineLevel="1">
      <c r="A159" s="1" t="s">
        <v>234</v>
      </c>
      <c r="B159" s="1" t="s">
        <v>235</v>
      </c>
      <c r="D159" s="88">
        <v>0</v>
      </c>
      <c r="E159" s="88">
        <v>0</v>
      </c>
      <c r="F159" s="88">
        <v>0</v>
      </c>
      <c r="G159" s="1">
        <f t="shared" si="24"/>
        <v>0</v>
      </c>
      <c r="I159" s="6">
        <f t="shared" si="25"/>
        <v>0</v>
      </c>
      <c r="J159" s="7">
        <f>IFR!AD159</f>
        <v>0</v>
      </c>
      <c r="K159" s="8">
        <f t="shared" si="20"/>
        <v>0.95</v>
      </c>
      <c r="L159" s="6">
        <f t="shared" si="26"/>
        <v>0</v>
      </c>
      <c r="M159" s="8">
        <v>1</v>
      </c>
      <c r="N159" s="8">
        <v>1</v>
      </c>
      <c r="P159" s="6">
        <f t="shared" si="27"/>
        <v>0</v>
      </c>
      <c r="R159" s="9">
        <f t="shared" si="23"/>
        <v>0</v>
      </c>
      <c r="T159" s="10">
        <f>+R159*([1]assessment!$J$272*[1]assessment!$E$3)</f>
        <v>0</v>
      </c>
      <c r="V159" s="7">
        <f>+T159/[1]payroll!$F159</f>
        <v>0</v>
      </c>
      <c r="X159" s="10">
        <f>IF(V159&lt;$X$2,T159,[1]payroll!$F159*$X$2)</f>
        <v>0</v>
      </c>
      <c r="Z159" s="10">
        <f t="shared" si="28"/>
        <v>0</v>
      </c>
      <c r="AB159" s="1" t="e">
        <f t="shared" si="29"/>
        <v>#DIV/0!</v>
      </c>
    </row>
    <row r="160" spans="1:28" outlineLevel="1">
      <c r="A160" s="1" t="s">
        <v>236</v>
      </c>
      <c r="B160" s="1" t="s">
        <v>237</v>
      </c>
      <c r="D160" s="88">
        <v>1</v>
      </c>
      <c r="E160" s="88">
        <v>0</v>
      </c>
      <c r="F160" s="88">
        <v>1</v>
      </c>
      <c r="G160" s="1">
        <f t="shared" si="24"/>
        <v>2</v>
      </c>
      <c r="I160" s="6">
        <f t="shared" si="25"/>
        <v>0.66666666666666663</v>
      </c>
      <c r="J160" s="7">
        <f>IFR!AD160</f>
        <v>6.275461298825784E-3</v>
      </c>
      <c r="K160" s="8">
        <f t="shared" si="20"/>
        <v>0.95</v>
      </c>
      <c r="L160" s="6">
        <f t="shared" si="26"/>
        <v>0.6333333333333333</v>
      </c>
      <c r="M160" s="8">
        <v>1</v>
      </c>
      <c r="N160" s="8">
        <v>1</v>
      </c>
      <c r="P160" s="6">
        <f t="shared" si="27"/>
        <v>0.6333333333333333</v>
      </c>
      <c r="R160" s="9">
        <f t="shared" si="23"/>
        <v>1.1450749722771331E-4</v>
      </c>
      <c r="T160" s="10">
        <f>+R160*([1]assessment!$J$272*[1]assessment!$E$3)</f>
        <v>1031.0379634540288</v>
      </c>
      <c r="V160" s="7">
        <f>+T160/[1]payroll!$F160</f>
        <v>1.715873116444345E-4</v>
      </c>
      <c r="X160" s="10">
        <f>IF(V160&lt;$X$2,T160,[1]payroll!$F160*$X$2)</f>
        <v>1031.0379634540288</v>
      </c>
      <c r="Z160" s="10">
        <f t="shared" si="28"/>
        <v>0</v>
      </c>
      <c r="AB160" s="1">
        <f t="shared" si="29"/>
        <v>1</v>
      </c>
    </row>
    <row r="161" spans="1:28" outlineLevel="1">
      <c r="A161" s="1" t="s">
        <v>238</v>
      </c>
      <c r="B161" s="1" t="s">
        <v>239</v>
      </c>
      <c r="D161" s="88">
        <v>0</v>
      </c>
      <c r="E161" s="88">
        <v>0</v>
      </c>
      <c r="F161" s="88">
        <v>0</v>
      </c>
      <c r="G161" s="1">
        <f t="shared" si="24"/>
        <v>0</v>
      </c>
      <c r="I161" s="6">
        <f t="shared" si="25"/>
        <v>0</v>
      </c>
      <c r="J161" s="7">
        <f>IFR!AD161</f>
        <v>0</v>
      </c>
      <c r="K161" s="8">
        <f t="shared" si="20"/>
        <v>0.95</v>
      </c>
      <c r="L161" s="6">
        <f t="shared" si="26"/>
        <v>0</v>
      </c>
      <c r="M161" s="8">
        <v>1</v>
      </c>
      <c r="N161" s="8">
        <v>1</v>
      </c>
      <c r="P161" s="6">
        <f t="shared" si="27"/>
        <v>0</v>
      </c>
      <c r="R161" s="9">
        <f t="shared" si="23"/>
        <v>0</v>
      </c>
      <c r="T161" s="10">
        <f>+R161*([1]assessment!$J$272*[1]assessment!$E$3)</f>
        <v>0</v>
      </c>
      <c r="V161" s="7">
        <f>+T161/[1]payroll!$F161</f>
        <v>0</v>
      </c>
      <c r="X161" s="10">
        <f>IF(V161&lt;$X$2,T161,[1]payroll!$F161*$X$2)</f>
        <v>0</v>
      </c>
      <c r="Z161" s="10">
        <f t="shared" si="28"/>
        <v>0</v>
      </c>
      <c r="AB161" s="1" t="e">
        <f t="shared" si="29"/>
        <v>#DIV/0!</v>
      </c>
    </row>
    <row r="162" spans="1:28" outlineLevel="1">
      <c r="A162" s="1" t="s">
        <v>240</v>
      </c>
      <c r="B162" s="1" t="s">
        <v>241</v>
      </c>
      <c r="D162" s="88">
        <v>0</v>
      </c>
      <c r="E162" s="88">
        <v>0</v>
      </c>
      <c r="F162" s="88">
        <v>1</v>
      </c>
      <c r="G162" s="1">
        <f t="shared" si="24"/>
        <v>1</v>
      </c>
      <c r="I162" s="6">
        <f t="shared" si="25"/>
        <v>0.33333333333333331</v>
      </c>
      <c r="J162" s="7">
        <f>IFR!AD162</f>
        <v>5.0000000000000001E-3</v>
      </c>
      <c r="K162" s="8">
        <f t="shared" si="20"/>
        <v>0.95</v>
      </c>
      <c r="L162" s="6">
        <f t="shared" si="26"/>
        <v>0.31666666666666665</v>
      </c>
      <c r="M162" s="8">
        <v>1</v>
      </c>
      <c r="N162" s="8">
        <v>1</v>
      </c>
      <c r="P162" s="6">
        <f t="shared" si="27"/>
        <v>0.31666666666666665</v>
      </c>
      <c r="R162" s="9">
        <f t="shared" si="23"/>
        <v>5.7253748613856657E-5</v>
      </c>
      <c r="T162" s="10">
        <f>+R162*([1]assessment!$J$272*[1]assessment!$E$3)</f>
        <v>515.51898172701442</v>
      </c>
      <c r="V162" s="7">
        <f>+T162/[1]payroll!$F162</f>
        <v>1.2800530704458351E-3</v>
      </c>
      <c r="X162" s="10">
        <f>IF(V162&lt;$X$2,T162,[1]payroll!$F162*$X$2)</f>
        <v>515.51898172701442</v>
      </c>
      <c r="Z162" s="10">
        <f t="shared" si="28"/>
        <v>0</v>
      </c>
      <c r="AB162" s="1">
        <f t="shared" si="29"/>
        <v>1</v>
      </c>
    </row>
    <row r="163" spans="1:28" outlineLevel="1">
      <c r="A163" s="1" t="s">
        <v>242</v>
      </c>
      <c r="B163" s="1" t="s">
        <v>243</v>
      </c>
      <c r="D163" s="88">
        <v>0</v>
      </c>
      <c r="E163" s="88">
        <v>0</v>
      </c>
      <c r="F163" s="88">
        <v>0</v>
      </c>
      <c r="G163" s="1">
        <f t="shared" si="24"/>
        <v>0</v>
      </c>
      <c r="I163" s="6">
        <f t="shared" si="25"/>
        <v>0</v>
      </c>
      <c r="J163" s="7">
        <f>IFR!AD163</f>
        <v>0</v>
      </c>
      <c r="K163" s="8">
        <f t="shared" si="20"/>
        <v>0.95</v>
      </c>
      <c r="L163" s="6">
        <f t="shared" si="26"/>
        <v>0</v>
      </c>
      <c r="M163" s="8">
        <v>1</v>
      </c>
      <c r="N163" s="8">
        <v>1</v>
      </c>
      <c r="P163" s="6">
        <f t="shared" si="27"/>
        <v>0</v>
      </c>
      <c r="R163" s="9">
        <f t="shared" si="23"/>
        <v>0</v>
      </c>
      <c r="T163" s="10">
        <f>+R163*([1]assessment!$J$272*[1]assessment!$E$3)</f>
        <v>0</v>
      </c>
      <c r="V163" s="7">
        <f>+T163/[1]payroll!$F163</f>
        <v>0</v>
      </c>
      <c r="X163" s="10">
        <f>IF(V163&lt;$X$2,T163,[1]payroll!$F163*$X$2)</f>
        <v>0</v>
      </c>
      <c r="Z163" s="10">
        <f t="shared" si="28"/>
        <v>0</v>
      </c>
      <c r="AB163" s="1" t="e">
        <f t="shared" si="29"/>
        <v>#DIV/0!</v>
      </c>
    </row>
    <row r="164" spans="1:28" outlineLevel="1">
      <c r="A164" s="1" t="s">
        <v>483</v>
      </c>
      <c r="B164" s="1" t="s">
        <v>484</v>
      </c>
      <c r="D164" s="88">
        <v>0</v>
      </c>
      <c r="E164" s="88">
        <v>0</v>
      </c>
      <c r="F164" s="88">
        <v>0</v>
      </c>
      <c r="G164" s="1">
        <f t="shared" si="24"/>
        <v>0</v>
      </c>
      <c r="I164" s="6">
        <f t="shared" si="25"/>
        <v>0</v>
      </c>
      <c r="J164" s="7">
        <f>IFR!AD164</f>
        <v>0</v>
      </c>
      <c r="K164" s="8">
        <f t="shared" si="20"/>
        <v>0.95</v>
      </c>
      <c r="L164" s="6">
        <f t="shared" si="26"/>
        <v>0</v>
      </c>
      <c r="M164" s="8">
        <v>1</v>
      </c>
      <c r="N164" s="8">
        <v>1</v>
      </c>
      <c r="P164" s="6">
        <f t="shared" si="27"/>
        <v>0</v>
      </c>
      <c r="R164" s="9">
        <f t="shared" si="23"/>
        <v>0</v>
      </c>
      <c r="T164" s="10">
        <f>+R164*([1]assessment!$J$272*[1]assessment!$E$3)</f>
        <v>0</v>
      </c>
      <c r="V164" s="7">
        <f>+T164/[1]payroll!$F164</f>
        <v>0</v>
      </c>
      <c r="X164" s="10">
        <f>IF(V164&lt;$X$2,T164,[1]payroll!$F164*$X$2)</f>
        <v>0</v>
      </c>
      <c r="Z164" s="10">
        <f t="shared" si="28"/>
        <v>0</v>
      </c>
      <c r="AB164" s="1" t="e">
        <f t="shared" si="29"/>
        <v>#DIV/0!</v>
      </c>
    </row>
    <row r="165" spans="1:28" outlineLevel="1">
      <c r="A165" s="1" t="s">
        <v>244</v>
      </c>
      <c r="B165" s="1" t="s">
        <v>245</v>
      </c>
      <c r="D165" s="88">
        <v>4</v>
      </c>
      <c r="E165" s="88">
        <v>1</v>
      </c>
      <c r="F165" s="88">
        <v>2</v>
      </c>
      <c r="G165" s="1">
        <f t="shared" si="24"/>
        <v>7</v>
      </c>
      <c r="I165" s="6">
        <f t="shared" si="25"/>
        <v>2.3333333333333335</v>
      </c>
      <c r="J165" s="7">
        <f>IFR!AD165</f>
        <v>4.5244132273385938E-3</v>
      </c>
      <c r="K165" s="8">
        <f t="shared" si="20"/>
        <v>0.95</v>
      </c>
      <c r="L165" s="6">
        <f t="shared" si="26"/>
        <v>2.2166666666666668</v>
      </c>
      <c r="M165" s="8">
        <v>1</v>
      </c>
      <c r="N165" s="8">
        <v>1</v>
      </c>
      <c r="P165" s="6">
        <f t="shared" si="27"/>
        <v>2.2166666666666668</v>
      </c>
      <c r="R165" s="9">
        <f t="shared" si="23"/>
        <v>4.0077624029699664E-4</v>
      </c>
      <c r="T165" s="10">
        <f>+R165*([1]assessment!$J$272*[1]assessment!$E$3)</f>
        <v>3608.6328720891015</v>
      </c>
      <c r="V165" s="7">
        <f>+T165/[1]payroll!$F165</f>
        <v>1.4504052470267596E-4</v>
      </c>
      <c r="X165" s="10">
        <f>IF(V165&lt;$X$2,T165,[1]payroll!$F165*$X$2)</f>
        <v>3608.6328720891015</v>
      </c>
      <c r="Z165" s="10">
        <f t="shared" si="28"/>
        <v>0</v>
      </c>
      <c r="AB165" s="1">
        <f t="shared" si="29"/>
        <v>1</v>
      </c>
    </row>
    <row r="166" spans="1:28" outlineLevel="1">
      <c r="A166" s="1" t="s">
        <v>246</v>
      </c>
      <c r="B166" s="1" t="s">
        <v>247</v>
      </c>
      <c r="D166" s="88">
        <v>0</v>
      </c>
      <c r="E166" s="88">
        <v>0</v>
      </c>
      <c r="F166" s="88">
        <v>0</v>
      </c>
      <c r="G166" s="1">
        <f t="shared" si="24"/>
        <v>0</v>
      </c>
      <c r="I166" s="6">
        <f t="shared" si="25"/>
        <v>0</v>
      </c>
      <c r="J166" s="7">
        <f>IFR!AD166</f>
        <v>0</v>
      </c>
      <c r="K166" s="8">
        <f t="shared" si="20"/>
        <v>0.95</v>
      </c>
      <c r="L166" s="6">
        <f t="shared" si="26"/>
        <v>0</v>
      </c>
      <c r="M166" s="8">
        <v>1</v>
      </c>
      <c r="N166" s="8">
        <v>1</v>
      </c>
      <c r="P166" s="6">
        <f t="shared" si="27"/>
        <v>0</v>
      </c>
      <c r="R166" s="9">
        <f t="shared" si="23"/>
        <v>0</v>
      </c>
      <c r="T166" s="10">
        <f>+R166*([1]assessment!$J$272*[1]assessment!$E$3)</f>
        <v>0</v>
      </c>
      <c r="V166" s="7">
        <f>+T166/[1]payroll!$F166</f>
        <v>0</v>
      </c>
      <c r="X166" s="10">
        <f>IF(V166&lt;$X$2,T166,[1]payroll!$F166*$X$2)</f>
        <v>0</v>
      </c>
      <c r="Z166" s="10">
        <f t="shared" si="28"/>
        <v>0</v>
      </c>
      <c r="AB166" s="1" t="e">
        <f t="shared" si="29"/>
        <v>#DIV/0!</v>
      </c>
    </row>
    <row r="167" spans="1:28" outlineLevel="1">
      <c r="A167" s="1" t="s">
        <v>248</v>
      </c>
      <c r="B167" s="1" t="s">
        <v>249</v>
      </c>
      <c r="D167" s="88">
        <v>0</v>
      </c>
      <c r="E167" s="88">
        <v>0</v>
      </c>
      <c r="F167" s="88">
        <v>0</v>
      </c>
      <c r="G167" s="1">
        <f t="shared" si="24"/>
        <v>0</v>
      </c>
      <c r="I167" s="6">
        <f t="shared" si="25"/>
        <v>0</v>
      </c>
      <c r="J167" s="7">
        <f>IFR!AD167</f>
        <v>0</v>
      </c>
      <c r="K167" s="8">
        <f t="shared" si="20"/>
        <v>0.95</v>
      </c>
      <c r="L167" s="6">
        <f t="shared" si="26"/>
        <v>0</v>
      </c>
      <c r="M167" s="8">
        <v>1</v>
      </c>
      <c r="N167" s="8">
        <v>1</v>
      </c>
      <c r="P167" s="6">
        <f t="shared" si="27"/>
        <v>0</v>
      </c>
      <c r="R167" s="9">
        <f t="shared" si="23"/>
        <v>0</v>
      </c>
      <c r="T167" s="10">
        <f>+R167*([1]assessment!$J$272*[1]assessment!$E$3)</f>
        <v>0</v>
      </c>
      <c r="V167" s="7">
        <f>+T167/[1]payroll!$F167</f>
        <v>0</v>
      </c>
      <c r="X167" s="10">
        <f>IF(V167&lt;$X$2,T167,[1]payroll!$F167*$X$2)</f>
        <v>0</v>
      </c>
      <c r="Z167" s="10">
        <f t="shared" si="28"/>
        <v>0</v>
      </c>
      <c r="AB167" s="1" t="e">
        <f t="shared" si="29"/>
        <v>#DIV/0!</v>
      </c>
    </row>
    <row r="168" spans="1:28" outlineLevel="1">
      <c r="A168" s="1" t="s">
        <v>250</v>
      </c>
      <c r="B168" s="1" t="s">
        <v>251</v>
      </c>
      <c r="D168" s="88">
        <v>0</v>
      </c>
      <c r="E168" s="88">
        <v>2</v>
      </c>
      <c r="F168" s="88">
        <v>2</v>
      </c>
      <c r="G168" s="1">
        <f t="shared" si="24"/>
        <v>4</v>
      </c>
      <c r="I168" s="6">
        <f t="shared" si="25"/>
        <v>1.3333333333333333</v>
      </c>
      <c r="J168" s="7">
        <f>IFR!AD168</f>
        <v>1.6666666666666666E-2</v>
      </c>
      <c r="K168" s="8">
        <f t="shared" si="20"/>
        <v>0.95</v>
      </c>
      <c r="L168" s="6">
        <f t="shared" si="26"/>
        <v>1.2666666666666666</v>
      </c>
      <c r="M168" s="8">
        <v>1</v>
      </c>
      <c r="N168" s="8">
        <v>1</v>
      </c>
      <c r="P168" s="6">
        <f t="shared" si="27"/>
        <v>1.2666666666666666</v>
      </c>
      <c r="R168" s="9">
        <f t="shared" si="23"/>
        <v>2.2901499445542663E-4</v>
      </c>
      <c r="T168" s="10">
        <f>+R168*([1]assessment!$J$272*[1]assessment!$E$3)</f>
        <v>2062.0759269080577</v>
      </c>
      <c r="V168" s="7">
        <f>+T168/[1]payroll!$F168</f>
        <v>3.6703287299122428E-4</v>
      </c>
      <c r="X168" s="10">
        <f>IF(V168&lt;$X$2,T168,[1]payroll!$F168*$X$2)</f>
        <v>2062.0759269080577</v>
      </c>
      <c r="Z168" s="10">
        <f t="shared" si="28"/>
        <v>0</v>
      </c>
      <c r="AB168" s="1">
        <f t="shared" si="29"/>
        <v>1</v>
      </c>
    </row>
    <row r="169" spans="1:28" outlineLevel="1">
      <c r="A169" s="1" t="s">
        <v>252</v>
      </c>
      <c r="B169" s="1" t="s">
        <v>253</v>
      </c>
      <c r="D169" s="88">
        <v>0</v>
      </c>
      <c r="E169" s="88">
        <v>0</v>
      </c>
      <c r="F169" s="88">
        <v>0</v>
      </c>
      <c r="G169" s="1">
        <f t="shared" si="24"/>
        <v>0</v>
      </c>
      <c r="I169" s="6">
        <f t="shared" si="25"/>
        <v>0</v>
      </c>
      <c r="J169" s="7">
        <f>IFR!AD169</f>
        <v>0</v>
      </c>
      <c r="K169" s="8">
        <f t="shared" si="20"/>
        <v>0.95</v>
      </c>
      <c r="L169" s="6">
        <f t="shared" si="26"/>
        <v>0</v>
      </c>
      <c r="M169" s="8">
        <v>1</v>
      </c>
      <c r="N169" s="8">
        <v>1</v>
      </c>
      <c r="P169" s="6">
        <f t="shared" si="27"/>
        <v>0</v>
      </c>
      <c r="R169" s="9">
        <f t="shared" si="23"/>
        <v>0</v>
      </c>
      <c r="T169" s="10">
        <f>+R169*([1]assessment!$J$272*[1]assessment!$E$3)</f>
        <v>0</v>
      </c>
      <c r="V169" s="7">
        <f>+T169/[1]payroll!$F169</f>
        <v>0</v>
      </c>
      <c r="X169" s="10">
        <f>IF(V169&lt;$X$2,T169,[1]payroll!$F169*$X$2)</f>
        <v>0</v>
      </c>
      <c r="Z169" s="10">
        <f t="shared" si="28"/>
        <v>0</v>
      </c>
      <c r="AB169" s="1" t="e">
        <f t="shared" si="29"/>
        <v>#DIV/0!</v>
      </c>
    </row>
    <row r="170" spans="1:28" outlineLevel="1">
      <c r="A170" s="1" t="s">
        <v>254</v>
      </c>
      <c r="B170" s="1" t="s">
        <v>255</v>
      </c>
      <c r="D170" s="88">
        <v>0</v>
      </c>
      <c r="E170" s="88">
        <v>0</v>
      </c>
      <c r="F170" s="88">
        <v>0</v>
      </c>
      <c r="G170" s="1">
        <f t="shared" si="24"/>
        <v>0</v>
      </c>
      <c r="I170" s="6">
        <f t="shared" si="25"/>
        <v>0</v>
      </c>
      <c r="J170" s="7">
        <f>IFR!AD170</f>
        <v>0</v>
      </c>
      <c r="K170" s="8">
        <f t="shared" si="20"/>
        <v>0.95</v>
      </c>
      <c r="L170" s="6">
        <f t="shared" si="26"/>
        <v>0</v>
      </c>
      <c r="M170" s="8">
        <v>1</v>
      </c>
      <c r="N170" s="8">
        <v>1</v>
      </c>
      <c r="P170" s="6">
        <f t="shared" si="27"/>
        <v>0</v>
      </c>
      <c r="R170" s="9">
        <f t="shared" si="23"/>
        <v>0</v>
      </c>
      <c r="T170" s="10">
        <f>+R170*([1]assessment!$J$272*[1]assessment!$E$3)</f>
        <v>0</v>
      </c>
      <c r="V170" s="7">
        <f>+T170/[1]payroll!$F170</f>
        <v>0</v>
      </c>
      <c r="X170" s="10">
        <f>IF(V170&lt;$X$2,T170,[1]payroll!$F170*$X$2)</f>
        <v>0</v>
      </c>
      <c r="Z170" s="10">
        <f t="shared" si="28"/>
        <v>0</v>
      </c>
      <c r="AB170" s="1" t="e">
        <f t="shared" si="29"/>
        <v>#DIV/0!</v>
      </c>
    </row>
    <row r="171" spans="1:28" outlineLevel="1">
      <c r="A171" s="1" t="s">
        <v>256</v>
      </c>
      <c r="B171" s="1" t="s">
        <v>257</v>
      </c>
      <c r="D171" s="88">
        <v>0</v>
      </c>
      <c r="E171" s="88">
        <v>1</v>
      </c>
      <c r="F171" s="88">
        <v>0</v>
      </c>
      <c r="G171" s="1">
        <f t="shared" si="24"/>
        <v>1</v>
      </c>
      <c r="I171" s="6">
        <f t="shared" si="25"/>
        <v>0.33333333333333331</v>
      </c>
      <c r="J171" s="7">
        <f>IFR!AD171</f>
        <v>3.3333333333333335E-3</v>
      </c>
      <c r="K171" s="8">
        <f t="shared" si="20"/>
        <v>0.95</v>
      </c>
      <c r="L171" s="6">
        <f t="shared" si="26"/>
        <v>0.31666666666666665</v>
      </c>
      <c r="M171" s="8">
        <v>1</v>
      </c>
      <c r="N171" s="8">
        <v>1</v>
      </c>
      <c r="P171" s="6">
        <f t="shared" si="27"/>
        <v>0.31666666666666665</v>
      </c>
      <c r="R171" s="9">
        <f t="shared" si="23"/>
        <v>5.7253748613856657E-5</v>
      </c>
      <c r="T171" s="10">
        <f>+R171*([1]assessment!$J$272*[1]assessment!$E$3)</f>
        <v>515.51898172701442</v>
      </c>
      <c r="V171" s="7">
        <f>+T171/[1]payroll!$F171</f>
        <v>3.2253711571157695E-4</v>
      </c>
      <c r="X171" s="10">
        <f>IF(V171&lt;$X$2,T171,[1]payroll!$F171*$X$2)</f>
        <v>515.51898172701442</v>
      </c>
      <c r="Z171" s="10">
        <f t="shared" si="28"/>
        <v>0</v>
      </c>
      <c r="AB171" s="1">
        <f t="shared" si="29"/>
        <v>1</v>
      </c>
    </row>
    <row r="172" spans="1:28" outlineLevel="1">
      <c r="A172" s="1" t="s">
        <v>258</v>
      </c>
      <c r="B172" s="1" t="s">
        <v>259</v>
      </c>
      <c r="D172" s="88">
        <v>2</v>
      </c>
      <c r="E172" s="88">
        <v>3</v>
      </c>
      <c r="F172" s="88">
        <v>3</v>
      </c>
      <c r="G172" s="1">
        <f t="shared" si="24"/>
        <v>8</v>
      </c>
      <c r="I172" s="6">
        <f t="shared" si="25"/>
        <v>2.6666666666666665</v>
      </c>
      <c r="J172" s="7">
        <f>IFR!AD172</f>
        <v>2.0606790907302417E-2</v>
      </c>
      <c r="K172" s="8">
        <f t="shared" si="20"/>
        <v>0.95</v>
      </c>
      <c r="L172" s="6">
        <f t="shared" si="26"/>
        <v>2.5333333333333332</v>
      </c>
      <c r="M172" s="8">
        <v>1</v>
      </c>
      <c r="N172" s="8">
        <v>1</v>
      </c>
      <c r="P172" s="6">
        <f t="shared" si="27"/>
        <v>2.5333333333333332</v>
      </c>
      <c r="R172" s="9">
        <f t="shared" si="23"/>
        <v>4.5802998891085326E-4</v>
      </c>
      <c r="T172" s="10">
        <f>+R172*([1]assessment!$J$272*[1]assessment!$E$3)</f>
        <v>4124.1518538161154</v>
      </c>
      <c r="V172" s="7">
        <f>+T172/[1]payroll!$F172</f>
        <v>5.3212037688630338E-4</v>
      </c>
      <c r="X172" s="10">
        <f>IF(V172&lt;$X$2,T172,[1]payroll!$F172*$X$2)</f>
        <v>4124.1518538161154</v>
      </c>
      <c r="Z172" s="10">
        <f t="shared" si="28"/>
        <v>0</v>
      </c>
      <c r="AB172" s="1">
        <f t="shared" si="29"/>
        <v>1</v>
      </c>
    </row>
    <row r="173" spans="1:28" outlineLevel="1">
      <c r="A173" s="1" t="s">
        <v>260</v>
      </c>
      <c r="B173" s="1" t="s">
        <v>261</v>
      </c>
      <c r="D173" s="88">
        <v>0</v>
      </c>
      <c r="E173" s="88">
        <v>0</v>
      </c>
      <c r="F173" s="88">
        <v>0</v>
      </c>
      <c r="G173" s="1">
        <f t="shared" ref="G173:G204" si="30">SUM(D173:F173)</f>
        <v>0</v>
      </c>
      <c r="I173" s="6">
        <f t="shared" ref="I173:I204" si="31">AVERAGE(D173:F173)</f>
        <v>0</v>
      </c>
      <c r="J173" s="7">
        <f>IFR!AD173</f>
        <v>0</v>
      </c>
      <c r="K173" s="8">
        <f t="shared" si="20"/>
        <v>0.95</v>
      </c>
      <c r="L173" s="6">
        <f t="shared" si="26"/>
        <v>0</v>
      </c>
      <c r="M173" s="8">
        <v>1</v>
      </c>
      <c r="N173" s="8">
        <v>1</v>
      </c>
      <c r="P173" s="6">
        <f t="shared" si="27"/>
        <v>0</v>
      </c>
      <c r="R173" s="9">
        <f t="shared" si="23"/>
        <v>0</v>
      </c>
      <c r="T173" s="10">
        <f>+R173*([1]assessment!$J$272*[1]assessment!$E$3)</f>
        <v>0</v>
      </c>
      <c r="V173" s="7">
        <f>+T173/[1]payroll!$F173</f>
        <v>0</v>
      </c>
      <c r="X173" s="10">
        <f>IF(V173&lt;$X$2,T173,[1]payroll!$F173*$X$2)</f>
        <v>0</v>
      </c>
      <c r="Z173" s="10">
        <f t="shared" si="28"/>
        <v>0</v>
      </c>
      <c r="AB173" s="1" t="e">
        <f t="shared" ref="AB173:AB204" si="32">+X173/T173</f>
        <v>#DIV/0!</v>
      </c>
    </row>
    <row r="174" spans="1:28" outlineLevel="1">
      <c r="A174" s="1" t="s">
        <v>262</v>
      </c>
      <c r="B174" s="1" t="s">
        <v>263</v>
      </c>
      <c r="D174" s="88">
        <v>0</v>
      </c>
      <c r="E174" s="88">
        <v>0</v>
      </c>
      <c r="F174" s="88">
        <v>0</v>
      </c>
      <c r="G174" s="1">
        <f t="shared" si="30"/>
        <v>0</v>
      </c>
      <c r="I174" s="6">
        <f t="shared" si="31"/>
        <v>0</v>
      </c>
      <c r="J174" s="7">
        <f>IFR!AD174</f>
        <v>0</v>
      </c>
      <c r="K174" s="8">
        <f t="shared" si="20"/>
        <v>0.95</v>
      </c>
      <c r="L174" s="6">
        <f t="shared" si="26"/>
        <v>0</v>
      </c>
      <c r="M174" s="8">
        <v>1</v>
      </c>
      <c r="N174" s="8">
        <v>1</v>
      </c>
      <c r="P174" s="6">
        <f t="shared" si="27"/>
        <v>0</v>
      </c>
      <c r="R174" s="9">
        <f t="shared" si="23"/>
        <v>0</v>
      </c>
      <c r="T174" s="10">
        <f>+R174*([1]assessment!$J$272*[1]assessment!$E$3)</f>
        <v>0</v>
      </c>
      <c r="V174" s="7">
        <f>+T174/[1]payroll!$F174</f>
        <v>0</v>
      </c>
      <c r="X174" s="10">
        <f>IF(V174&lt;$X$2,T174,[1]payroll!$F174*$X$2)</f>
        <v>0</v>
      </c>
      <c r="Z174" s="10">
        <f t="shared" si="28"/>
        <v>0</v>
      </c>
      <c r="AB174" s="1" t="e">
        <f t="shared" si="32"/>
        <v>#DIV/0!</v>
      </c>
    </row>
    <row r="175" spans="1:28" outlineLevel="1">
      <c r="A175" s="1" t="s">
        <v>264</v>
      </c>
      <c r="B175" s="1" t="s">
        <v>265</v>
      </c>
      <c r="D175" s="88">
        <v>0</v>
      </c>
      <c r="E175" s="88">
        <v>0</v>
      </c>
      <c r="F175" s="88">
        <v>0</v>
      </c>
      <c r="G175" s="1">
        <f t="shared" si="30"/>
        <v>0</v>
      </c>
      <c r="I175" s="6">
        <f t="shared" si="31"/>
        <v>0</v>
      </c>
      <c r="J175" s="7">
        <f>IFR!AD175</f>
        <v>0</v>
      </c>
      <c r="K175" s="8">
        <f t="shared" si="20"/>
        <v>0.95</v>
      </c>
      <c r="L175" s="6">
        <f t="shared" si="26"/>
        <v>0</v>
      </c>
      <c r="M175" s="8">
        <v>1</v>
      </c>
      <c r="N175" s="8">
        <v>1</v>
      </c>
      <c r="P175" s="6">
        <f t="shared" si="27"/>
        <v>0</v>
      </c>
      <c r="R175" s="9">
        <f t="shared" si="23"/>
        <v>0</v>
      </c>
      <c r="T175" s="10">
        <f>+R175*([1]assessment!$J$272*[1]assessment!$E$3)</f>
        <v>0</v>
      </c>
      <c r="V175" s="7">
        <f>+T175/[1]payroll!$F175</f>
        <v>0</v>
      </c>
      <c r="X175" s="10">
        <f>IF(V175&lt;$X$2,T175,[1]payroll!$F175*$X$2)</f>
        <v>0</v>
      </c>
      <c r="Z175" s="10">
        <f t="shared" si="28"/>
        <v>0</v>
      </c>
      <c r="AB175" s="1" t="e">
        <f t="shared" si="32"/>
        <v>#DIV/0!</v>
      </c>
    </row>
    <row r="176" spans="1:28" outlineLevel="1">
      <c r="A176" s="1" t="s">
        <v>266</v>
      </c>
      <c r="B176" s="1" t="s">
        <v>267</v>
      </c>
      <c r="D176" s="88">
        <v>0</v>
      </c>
      <c r="E176" s="88">
        <v>0</v>
      </c>
      <c r="F176" s="88">
        <v>0</v>
      </c>
      <c r="G176" s="1">
        <f t="shared" si="30"/>
        <v>0</v>
      </c>
      <c r="I176" s="6">
        <f t="shared" si="31"/>
        <v>0</v>
      </c>
      <c r="J176" s="7">
        <f>IFR!AD176</f>
        <v>0</v>
      </c>
      <c r="K176" s="8">
        <f t="shared" si="20"/>
        <v>0.95</v>
      </c>
      <c r="L176" s="6">
        <f t="shared" si="26"/>
        <v>0</v>
      </c>
      <c r="M176" s="8">
        <v>1</v>
      </c>
      <c r="N176" s="8">
        <v>1</v>
      </c>
      <c r="P176" s="6">
        <f t="shared" si="27"/>
        <v>0</v>
      </c>
      <c r="R176" s="9">
        <f t="shared" si="23"/>
        <v>0</v>
      </c>
      <c r="T176" s="10">
        <f>+R176*([1]assessment!$J$272*[1]assessment!$E$3)</f>
        <v>0</v>
      </c>
      <c r="V176" s="7">
        <f>+T176/[1]payroll!$F176</f>
        <v>0</v>
      </c>
      <c r="X176" s="10">
        <f>IF(V176&lt;$X$2,T176,[1]payroll!$F176*$X$2)</f>
        <v>0</v>
      </c>
      <c r="Z176" s="10">
        <f t="shared" si="28"/>
        <v>0</v>
      </c>
      <c r="AB176" s="1" t="e">
        <f t="shared" si="32"/>
        <v>#DIV/0!</v>
      </c>
    </row>
    <row r="177" spans="1:28" outlineLevel="1">
      <c r="A177" s="1" t="s">
        <v>268</v>
      </c>
      <c r="B177" s="1" t="s">
        <v>269</v>
      </c>
      <c r="D177" s="88">
        <v>0</v>
      </c>
      <c r="E177" s="88">
        <v>0</v>
      </c>
      <c r="F177" s="88">
        <v>0</v>
      </c>
      <c r="G177" s="1">
        <f t="shared" si="30"/>
        <v>0</v>
      </c>
      <c r="I177" s="6">
        <f t="shared" si="31"/>
        <v>0</v>
      </c>
      <c r="J177" s="7">
        <f>IFR!AD177</f>
        <v>0</v>
      </c>
      <c r="K177" s="8">
        <f t="shared" si="20"/>
        <v>0.95</v>
      </c>
      <c r="L177" s="6">
        <f t="shared" si="26"/>
        <v>0</v>
      </c>
      <c r="M177" s="8">
        <v>1</v>
      </c>
      <c r="N177" s="8">
        <v>1</v>
      </c>
      <c r="P177" s="6">
        <f t="shared" si="27"/>
        <v>0</v>
      </c>
      <c r="R177" s="9">
        <f t="shared" si="23"/>
        <v>0</v>
      </c>
      <c r="T177" s="10">
        <f>+R177*([1]assessment!$J$272*[1]assessment!$E$3)</f>
        <v>0</v>
      </c>
      <c r="V177" s="7">
        <f>+T177/[1]payroll!$F177</f>
        <v>0</v>
      </c>
      <c r="X177" s="10">
        <f>IF(V177&lt;$X$2,T177,[1]payroll!$F177*$X$2)</f>
        <v>0</v>
      </c>
      <c r="Z177" s="10">
        <f t="shared" si="28"/>
        <v>0</v>
      </c>
      <c r="AB177" s="1" t="e">
        <f t="shared" si="32"/>
        <v>#DIV/0!</v>
      </c>
    </row>
    <row r="178" spans="1:28" outlineLevel="1">
      <c r="A178" s="1" t="s">
        <v>270</v>
      </c>
      <c r="B178" s="1" t="s">
        <v>271</v>
      </c>
      <c r="D178" s="88">
        <v>1</v>
      </c>
      <c r="E178" s="88">
        <v>2</v>
      </c>
      <c r="F178" s="88">
        <v>3</v>
      </c>
      <c r="G178" s="1">
        <f t="shared" si="30"/>
        <v>6</v>
      </c>
      <c r="I178" s="6">
        <f t="shared" si="31"/>
        <v>2</v>
      </c>
      <c r="J178" s="7">
        <f>IFR!AD178</f>
        <v>2.3333333333333334E-2</v>
      </c>
      <c r="K178" s="8">
        <f t="shared" si="20"/>
        <v>0.95</v>
      </c>
      <c r="L178" s="6">
        <f t="shared" si="26"/>
        <v>1.9</v>
      </c>
      <c r="M178" s="8">
        <v>1</v>
      </c>
      <c r="N178" s="8">
        <v>1</v>
      </c>
      <c r="P178" s="6">
        <f t="shared" si="27"/>
        <v>1.9</v>
      </c>
      <c r="R178" s="9">
        <f t="shared" si="23"/>
        <v>3.4352249168313992E-4</v>
      </c>
      <c r="T178" s="10">
        <f>+R178*([1]assessment!$J$272*[1]assessment!$E$3)</f>
        <v>3093.1138903620867</v>
      </c>
      <c r="V178" s="7">
        <f>+T178/[1]payroll!$F178</f>
        <v>8.085677433322568E-4</v>
      </c>
      <c r="X178" s="10">
        <f>IF(V178&lt;$X$2,T178,[1]payroll!$F178*$X$2)</f>
        <v>3093.1138903620867</v>
      </c>
      <c r="Z178" s="10">
        <f t="shared" si="28"/>
        <v>0</v>
      </c>
      <c r="AB178" s="1">
        <f t="shared" si="32"/>
        <v>1</v>
      </c>
    </row>
    <row r="179" spans="1:28" outlineLevel="1">
      <c r="A179" s="1" t="s">
        <v>272</v>
      </c>
      <c r="B179" s="1" t="s">
        <v>273</v>
      </c>
      <c r="D179" s="88">
        <v>0</v>
      </c>
      <c r="E179" s="88">
        <v>1</v>
      </c>
      <c r="F179" s="88">
        <v>2</v>
      </c>
      <c r="G179" s="1">
        <f t="shared" si="30"/>
        <v>3</v>
      </c>
      <c r="I179" s="6">
        <f t="shared" si="31"/>
        <v>1</v>
      </c>
      <c r="J179" s="7">
        <f>IFR!AD179</f>
        <v>1.3333333333333334E-2</v>
      </c>
      <c r="K179" s="8">
        <f t="shared" si="20"/>
        <v>0.95</v>
      </c>
      <c r="L179" s="6">
        <f t="shared" si="26"/>
        <v>0.95</v>
      </c>
      <c r="M179" s="8">
        <v>1</v>
      </c>
      <c r="N179" s="8">
        <v>1</v>
      </c>
      <c r="P179" s="6">
        <f t="shared" si="27"/>
        <v>0.95</v>
      </c>
      <c r="R179" s="9">
        <f t="shared" si="23"/>
        <v>1.7176124584156996E-4</v>
      </c>
      <c r="T179" s="10">
        <f>+R179*([1]assessment!$J$272*[1]assessment!$E$3)</f>
        <v>1546.5569451810434</v>
      </c>
      <c r="V179" s="7">
        <f>+T179/[1]payroll!$F179</f>
        <v>5.4725703812078821E-4</v>
      </c>
      <c r="X179" s="10">
        <f>IF(V179&lt;$X$2,T179,[1]payroll!$F179*$X$2)</f>
        <v>1546.5569451810434</v>
      </c>
      <c r="Z179" s="10">
        <f t="shared" si="28"/>
        <v>0</v>
      </c>
      <c r="AB179" s="1">
        <f t="shared" si="32"/>
        <v>1</v>
      </c>
    </row>
    <row r="180" spans="1:28" outlineLevel="1">
      <c r="A180" s="1" t="s">
        <v>274</v>
      </c>
      <c r="B180" s="1" t="s">
        <v>275</v>
      </c>
      <c r="D180" s="88">
        <v>0</v>
      </c>
      <c r="E180" s="88">
        <v>0</v>
      </c>
      <c r="F180" s="88">
        <v>0</v>
      </c>
      <c r="G180" s="1">
        <f t="shared" si="30"/>
        <v>0</v>
      </c>
      <c r="I180" s="6">
        <f t="shared" si="31"/>
        <v>0</v>
      </c>
      <c r="J180" s="7">
        <f>IFR!AD180</f>
        <v>0</v>
      </c>
      <c r="K180" s="8">
        <f t="shared" si="20"/>
        <v>0.95</v>
      </c>
      <c r="L180" s="6">
        <f t="shared" si="26"/>
        <v>0</v>
      </c>
      <c r="M180" s="8">
        <v>1</v>
      </c>
      <c r="N180" s="8">
        <v>1</v>
      </c>
      <c r="P180" s="6">
        <f t="shared" si="27"/>
        <v>0</v>
      </c>
      <c r="R180" s="9">
        <f t="shared" si="23"/>
        <v>0</v>
      </c>
      <c r="T180" s="10">
        <f>+R180*([1]assessment!$J$272*[1]assessment!$E$3)</f>
        <v>0</v>
      </c>
      <c r="V180" s="7">
        <f>+T180/[1]payroll!$F180</f>
        <v>0</v>
      </c>
      <c r="X180" s="10">
        <f>IF(V180&lt;$X$2,T180,[1]payroll!$F180*$X$2)</f>
        <v>0</v>
      </c>
      <c r="Z180" s="10">
        <f t="shared" si="28"/>
        <v>0</v>
      </c>
      <c r="AB180" s="1" t="e">
        <f t="shared" si="32"/>
        <v>#DIV/0!</v>
      </c>
    </row>
    <row r="181" spans="1:28" outlineLevel="1">
      <c r="A181" s="1" t="s">
        <v>276</v>
      </c>
      <c r="B181" s="1" t="s">
        <v>277</v>
      </c>
      <c r="D181" s="88">
        <v>0</v>
      </c>
      <c r="E181" s="88">
        <v>0</v>
      </c>
      <c r="F181" s="88">
        <v>0</v>
      </c>
      <c r="G181" s="1">
        <f t="shared" si="30"/>
        <v>0</v>
      </c>
      <c r="I181" s="6">
        <f t="shared" si="31"/>
        <v>0</v>
      </c>
      <c r="J181" s="7">
        <f>IFR!AD181</f>
        <v>0</v>
      </c>
      <c r="K181" s="8">
        <f t="shared" si="20"/>
        <v>0.95</v>
      </c>
      <c r="L181" s="6">
        <f t="shared" si="26"/>
        <v>0</v>
      </c>
      <c r="M181" s="8">
        <v>1</v>
      </c>
      <c r="N181" s="8">
        <v>1</v>
      </c>
      <c r="P181" s="6">
        <f t="shared" si="27"/>
        <v>0</v>
      </c>
      <c r="R181" s="9">
        <f t="shared" si="23"/>
        <v>0</v>
      </c>
      <c r="T181" s="10">
        <f>+R181*([1]assessment!$J$272*[1]assessment!$E$3)</f>
        <v>0</v>
      </c>
      <c r="V181" s="7">
        <f>+T181/[1]payroll!$F181</f>
        <v>0</v>
      </c>
      <c r="X181" s="10">
        <f>IF(V181&lt;$X$2,T181,[1]payroll!$F181*$X$2)</f>
        <v>0</v>
      </c>
      <c r="Z181" s="10">
        <f t="shared" si="28"/>
        <v>0</v>
      </c>
      <c r="AB181" s="1" t="e">
        <f t="shared" si="32"/>
        <v>#DIV/0!</v>
      </c>
    </row>
    <row r="182" spans="1:28" outlineLevel="1">
      <c r="A182" s="1" t="s">
        <v>278</v>
      </c>
      <c r="B182" s="1" t="s">
        <v>279</v>
      </c>
      <c r="D182" s="88">
        <v>1</v>
      </c>
      <c r="E182" s="88">
        <v>2</v>
      </c>
      <c r="F182" s="88">
        <v>0</v>
      </c>
      <c r="G182" s="1">
        <f t="shared" si="30"/>
        <v>3</v>
      </c>
      <c r="I182" s="6">
        <f t="shared" si="31"/>
        <v>1</v>
      </c>
      <c r="J182" s="7">
        <f>IFR!AD182</f>
        <v>8.3333333333333332E-3</v>
      </c>
      <c r="K182" s="8">
        <f t="shared" si="20"/>
        <v>0.95</v>
      </c>
      <c r="L182" s="6">
        <f t="shared" si="26"/>
        <v>0.95</v>
      </c>
      <c r="M182" s="8">
        <v>1</v>
      </c>
      <c r="N182" s="8">
        <v>1</v>
      </c>
      <c r="P182" s="6">
        <f t="shared" si="27"/>
        <v>0.95</v>
      </c>
      <c r="R182" s="9">
        <f t="shared" si="23"/>
        <v>1.7176124584156996E-4</v>
      </c>
      <c r="T182" s="10">
        <f>+R182*([1]assessment!$J$272*[1]assessment!$E$3)</f>
        <v>1546.5569451810434</v>
      </c>
      <c r="V182" s="7">
        <f>+T182/[1]payroll!$F182</f>
        <v>1.1202105614923309E-3</v>
      </c>
      <c r="X182" s="10">
        <f>IF(V182&lt;$X$2,T182,[1]payroll!$F182*$X$2)</f>
        <v>1546.5569451810434</v>
      </c>
      <c r="Z182" s="10">
        <f t="shared" si="28"/>
        <v>0</v>
      </c>
      <c r="AB182" s="1">
        <f t="shared" si="32"/>
        <v>1</v>
      </c>
    </row>
    <row r="183" spans="1:28" outlineLevel="1">
      <c r="A183" s="1" t="s">
        <v>280</v>
      </c>
      <c r="B183" s="1" t="s">
        <v>281</v>
      </c>
      <c r="D183" s="88">
        <v>0</v>
      </c>
      <c r="E183" s="88">
        <v>0</v>
      </c>
      <c r="F183" s="88">
        <v>1</v>
      </c>
      <c r="G183" s="1">
        <f t="shared" si="30"/>
        <v>1</v>
      </c>
      <c r="I183" s="6">
        <f t="shared" si="31"/>
        <v>0.33333333333333331</v>
      </c>
      <c r="J183" s="7">
        <f>IFR!AD183</f>
        <v>5.0000000000000001E-3</v>
      </c>
      <c r="K183" s="8">
        <f t="shared" si="20"/>
        <v>0.95</v>
      </c>
      <c r="L183" s="6">
        <f t="shared" si="26"/>
        <v>0.31666666666666665</v>
      </c>
      <c r="M183" s="8">
        <v>1</v>
      </c>
      <c r="N183" s="8">
        <v>1</v>
      </c>
      <c r="P183" s="6">
        <f t="shared" si="27"/>
        <v>0.31666666666666665</v>
      </c>
      <c r="R183" s="9">
        <f t="shared" si="23"/>
        <v>5.7253748613856657E-5</v>
      </c>
      <c r="T183" s="10">
        <f>+R183*([1]assessment!$J$272*[1]assessment!$E$3)</f>
        <v>515.51898172701442</v>
      </c>
      <c r="V183" s="7">
        <f>+T183/[1]payroll!$F183</f>
        <v>3.8915333123230389E-4</v>
      </c>
      <c r="X183" s="10">
        <f>IF(V183&lt;$X$2,T183,[1]payroll!$F183*$X$2)</f>
        <v>515.51898172701442</v>
      </c>
      <c r="Z183" s="10">
        <f t="shared" si="28"/>
        <v>0</v>
      </c>
      <c r="AB183" s="1">
        <f t="shared" si="32"/>
        <v>1</v>
      </c>
    </row>
    <row r="184" spans="1:28" outlineLevel="1">
      <c r="A184" s="1" t="s">
        <v>282</v>
      </c>
      <c r="B184" s="1" t="s">
        <v>283</v>
      </c>
      <c r="D184" s="88">
        <v>0</v>
      </c>
      <c r="E184" s="88">
        <v>0</v>
      </c>
      <c r="F184" s="88">
        <v>0</v>
      </c>
      <c r="G184" s="1">
        <f t="shared" si="30"/>
        <v>0</v>
      </c>
      <c r="I184" s="6">
        <f t="shared" si="31"/>
        <v>0</v>
      </c>
      <c r="J184" s="7">
        <f>IFR!AD184</f>
        <v>0</v>
      </c>
      <c r="K184" s="8">
        <f t="shared" si="20"/>
        <v>0.95</v>
      </c>
      <c r="L184" s="6">
        <f t="shared" si="26"/>
        <v>0</v>
      </c>
      <c r="M184" s="8">
        <v>1</v>
      </c>
      <c r="N184" s="8">
        <v>1</v>
      </c>
      <c r="P184" s="6">
        <f t="shared" si="27"/>
        <v>0</v>
      </c>
      <c r="R184" s="9">
        <f t="shared" si="23"/>
        <v>0</v>
      </c>
      <c r="T184" s="10">
        <f>+R184*([1]assessment!$J$272*[1]assessment!$E$3)</f>
        <v>0</v>
      </c>
      <c r="V184" s="7">
        <f>+T184/[1]payroll!$F184</f>
        <v>0</v>
      </c>
      <c r="X184" s="10">
        <f>IF(V184&lt;$X$2,T184,[1]payroll!$F184*$X$2)</f>
        <v>0</v>
      </c>
      <c r="Z184" s="10">
        <f t="shared" si="28"/>
        <v>0</v>
      </c>
      <c r="AB184" s="1" t="e">
        <f t="shared" si="32"/>
        <v>#DIV/0!</v>
      </c>
    </row>
    <row r="185" spans="1:28" outlineLevel="1">
      <c r="A185" s="1" t="s">
        <v>284</v>
      </c>
      <c r="B185" s="1" t="s">
        <v>285</v>
      </c>
      <c r="D185" s="88">
        <v>0</v>
      </c>
      <c r="E185" s="88">
        <v>0</v>
      </c>
      <c r="F185" s="88">
        <v>0</v>
      </c>
      <c r="G185" s="1">
        <f t="shared" si="30"/>
        <v>0</v>
      </c>
      <c r="I185" s="6">
        <f t="shared" si="31"/>
        <v>0</v>
      </c>
      <c r="J185" s="7">
        <f>IFR!AD185</f>
        <v>0</v>
      </c>
      <c r="K185" s="8">
        <f t="shared" si="20"/>
        <v>0.95</v>
      </c>
      <c r="L185" s="6">
        <f t="shared" si="26"/>
        <v>0</v>
      </c>
      <c r="M185" s="8">
        <v>1</v>
      </c>
      <c r="N185" s="8">
        <v>1</v>
      </c>
      <c r="P185" s="6">
        <f t="shared" si="27"/>
        <v>0</v>
      </c>
      <c r="R185" s="9">
        <f t="shared" si="23"/>
        <v>0</v>
      </c>
      <c r="T185" s="10">
        <f>+R185*([1]assessment!$J$272*[1]assessment!$E$3)</f>
        <v>0</v>
      </c>
      <c r="V185" s="7">
        <f>+T185/[1]payroll!$F185</f>
        <v>0</v>
      </c>
      <c r="X185" s="10">
        <f>IF(V185&lt;$X$2,T185,[1]payroll!$F185*$X$2)</f>
        <v>0</v>
      </c>
      <c r="Z185" s="10">
        <f t="shared" si="28"/>
        <v>0</v>
      </c>
      <c r="AB185" s="1" t="e">
        <f t="shared" si="32"/>
        <v>#DIV/0!</v>
      </c>
    </row>
    <row r="186" spans="1:28" outlineLevel="1">
      <c r="A186" s="1" t="s">
        <v>286</v>
      </c>
      <c r="B186" s="1" t="s">
        <v>287</v>
      </c>
      <c r="D186" s="88">
        <v>2</v>
      </c>
      <c r="E186" s="88">
        <v>2</v>
      </c>
      <c r="F186" s="88">
        <v>4</v>
      </c>
      <c r="G186" s="1">
        <f t="shared" si="30"/>
        <v>8</v>
      </c>
      <c r="I186" s="6">
        <f t="shared" si="31"/>
        <v>2.6666666666666665</v>
      </c>
      <c r="J186" s="7">
        <f>IFR!AD186</f>
        <v>5.2194357292125043E-3</v>
      </c>
      <c r="K186" s="8">
        <f t="shared" si="20"/>
        <v>0.95</v>
      </c>
      <c r="L186" s="6">
        <f t="shared" si="26"/>
        <v>2.5333333333333332</v>
      </c>
      <c r="M186" s="8">
        <v>1</v>
      </c>
      <c r="N186" s="8">
        <v>1</v>
      </c>
      <c r="P186" s="6">
        <f t="shared" si="27"/>
        <v>2.5333333333333332</v>
      </c>
      <c r="R186" s="9">
        <f t="shared" si="23"/>
        <v>4.5802998891085326E-4</v>
      </c>
      <c r="T186" s="10">
        <f>+R186*([1]assessment!$J$272*[1]assessment!$E$3)</f>
        <v>4124.1518538161154</v>
      </c>
      <c r="V186" s="7">
        <f>+T186/[1]payroll!$F186</f>
        <v>1.403378048088452E-4</v>
      </c>
      <c r="X186" s="10">
        <f>IF(V186&lt;$X$2,T186,[1]payroll!$F186*$X$2)</f>
        <v>4124.1518538161154</v>
      </c>
      <c r="Z186" s="10">
        <f t="shared" si="28"/>
        <v>0</v>
      </c>
      <c r="AB186" s="1">
        <f t="shared" si="32"/>
        <v>1</v>
      </c>
    </row>
    <row r="187" spans="1:28" outlineLevel="1">
      <c r="A187" s="1" t="s">
        <v>288</v>
      </c>
      <c r="B187" s="1" t="s">
        <v>289</v>
      </c>
      <c r="D187" s="88">
        <v>0</v>
      </c>
      <c r="E187" s="88">
        <v>0</v>
      </c>
      <c r="F187" s="88">
        <v>0</v>
      </c>
      <c r="G187" s="1">
        <f t="shared" si="30"/>
        <v>0</v>
      </c>
      <c r="I187" s="6">
        <f t="shared" si="31"/>
        <v>0</v>
      </c>
      <c r="J187" s="7">
        <f>IFR!AD187</f>
        <v>0</v>
      </c>
      <c r="K187" s="8">
        <f t="shared" si="20"/>
        <v>0.95</v>
      </c>
      <c r="L187" s="6">
        <f t="shared" si="26"/>
        <v>0</v>
      </c>
      <c r="M187" s="8">
        <v>1</v>
      </c>
      <c r="N187" s="8">
        <v>1</v>
      </c>
      <c r="P187" s="6">
        <f t="shared" si="27"/>
        <v>0</v>
      </c>
      <c r="R187" s="9">
        <f t="shared" si="23"/>
        <v>0</v>
      </c>
      <c r="T187" s="10">
        <f>+R187*([1]assessment!$J$272*[1]assessment!$E$3)</f>
        <v>0</v>
      </c>
      <c r="V187" s="7">
        <f>+T187/[1]payroll!$F187</f>
        <v>0</v>
      </c>
      <c r="X187" s="10">
        <f>IF(V187&lt;$X$2,T187,[1]payroll!$F187*$X$2)</f>
        <v>0</v>
      </c>
      <c r="Z187" s="10">
        <f t="shared" si="28"/>
        <v>0</v>
      </c>
      <c r="AB187" s="1" t="e">
        <f t="shared" si="32"/>
        <v>#DIV/0!</v>
      </c>
    </row>
    <row r="188" spans="1:28" outlineLevel="1">
      <c r="A188" s="1" t="s">
        <v>290</v>
      </c>
      <c r="B188" s="1" t="s">
        <v>291</v>
      </c>
      <c r="D188" s="88">
        <v>0</v>
      </c>
      <c r="E188" s="88">
        <v>0</v>
      </c>
      <c r="F188" s="88">
        <v>0</v>
      </c>
      <c r="G188" s="1">
        <f t="shared" si="30"/>
        <v>0</v>
      </c>
      <c r="I188" s="6">
        <f t="shared" si="31"/>
        <v>0</v>
      </c>
      <c r="J188" s="7">
        <f>IFR!AD188</f>
        <v>0</v>
      </c>
      <c r="K188" s="8">
        <f t="shared" si="20"/>
        <v>0.95</v>
      </c>
      <c r="L188" s="6">
        <f t="shared" si="26"/>
        <v>0</v>
      </c>
      <c r="M188" s="8">
        <v>1</v>
      </c>
      <c r="N188" s="8">
        <v>1</v>
      </c>
      <c r="P188" s="6">
        <f t="shared" si="27"/>
        <v>0</v>
      </c>
      <c r="R188" s="9">
        <f t="shared" si="23"/>
        <v>0</v>
      </c>
      <c r="T188" s="10">
        <f>+R188*([1]assessment!$J$272*[1]assessment!$E$3)</f>
        <v>0</v>
      </c>
      <c r="V188" s="7">
        <f>+T188/[1]payroll!$F188</f>
        <v>0</v>
      </c>
      <c r="X188" s="10">
        <f>IF(V188&lt;$X$2,T188,[1]payroll!$F188*$X$2)</f>
        <v>0</v>
      </c>
      <c r="Z188" s="10">
        <f t="shared" si="28"/>
        <v>0</v>
      </c>
      <c r="AB188" s="1" t="e">
        <f t="shared" si="32"/>
        <v>#DIV/0!</v>
      </c>
    </row>
    <row r="189" spans="1:28" outlineLevel="1">
      <c r="A189" s="1" t="s">
        <v>292</v>
      </c>
      <c r="B189" s="1" t="s">
        <v>293</v>
      </c>
      <c r="D189" s="88">
        <v>0</v>
      </c>
      <c r="E189" s="88">
        <v>0</v>
      </c>
      <c r="F189" s="88">
        <v>0</v>
      </c>
      <c r="G189" s="1">
        <f t="shared" si="30"/>
        <v>0</v>
      </c>
      <c r="I189" s="6">
        <f t="shared" si="31"/>
        <v>0</v>
      </c>
      <c r="J189" s="7">
        <f>IFR!AD189</f>
        <v>0</v>
      </c>
      <c r="K189" s="8">
        <f t="shared" si="20"/>
        <v>0.95</v>
      </c>
      <c r="L189" s="6">
        <f t="shared" si="26"/>
        <v>0</v>
      </c>
      <c r="M189" s="8">
        <v>1</v>
      </c>
      <c r="N189" s="8">
        <v>1</v>
      </c>
      <c r="P189" s="6">
        <f t="shared" si="27"/>
        <v>0</v>
      </c>
      <c r="R189" s="9">
        <f t="shared" si="23"/>
        <v>0</v>
      </c>
      <c r="T189" s="10">
        <f>+R189*([1]assessment!$J$272*[1]assessment!$E$3)</f>
        <v>0</v>
      </c>
      <c r="V189" s="7">
        <f>+T189/[1]payroll!$F189</f>
        <v>0</v>
      </c>
      <c r="X189" s="10">
        <f>IF(V189&lt;$X$2,T189,[1]payroll!$F189*$X$2)</f>
        <v>0</v>
      </c>
      <c r="Z189" s="10">
        <f t="shared" si="28"/>
        <v>0</v>
      </c>
      <c r="AB189" s="1" t="e">
        <f t="shared" si="32"/>
        <v>#DIV/0!</v>
      </c>
    </row>
    <row r="190" spans="1:28" outlineLevel="1">
      <c r="A190" s="1" t="s">
        <v>294</v>
      </c>
      <c r="B190" s="1" t="s">
        <v>295</v>
      </c>
      <c r="D190" s="88">
        <v>1</v>
      </c>
      <c r="E190" s="88">
        <v>1</v>
      </c>
      <c r="F190" s="88">
        <v>1</v>
      </c>
      <c r="G190" s="1">
        <f t="shared" si="30"/>
        <v>3</v>
      </c>
      <c r="I190" s="6">
        <f t="shared" si="31"/>
        <v>1</v>
      </c>
      <c r="J190" s="7">
        <f>IFR!AD190</f>
        <v>4.9525664781207403E-3</v>
      </c>
      <c r="K190" s="8">
        <f t="shared" si="20"/>
        <v>0.95</v>
      </c>
      <c r="L190" s="6">
        <f t="shared" si="26"/>
        <v>0.95</v>
      </c>
      <c r="M190" s="8">
        <v>1</v>
      </c>
      <c r="N190" s="8">
        <v>1</v>
      </c>
      <c r="P190" s="6">
        <f t="shared" si="27"/>
        <v>0.95</v>
      </c>
      <c r="R190" s="9">
        <f t="shared" si="23"/>
        <v>1.7176124584156996E-4</v>
      </c>
      <c r="T190" s="10">
        <f>+R190*([1]assessment!$J$272*[1]assessment!$E$3)</f>
        <v>1546.5569451810434</v>
      </c>
      <c r="V190" s="7">
        <f>+T190/[1]payroll!$F190</f>
        <v>1.8481817849853155E-4</v>
      </c>
      <c r="X190" s="10">
        <f>IF(V190&lt;$X$2,T190,[1]payroll!$F190*$X$2)</f>
        <v>1546.5569451810434</v>
      </c>
      <c r="Z190" s="10">
        <f t="shared" si="28"/>
        <v>0</v>
      </c>
      <c r="AB190" s="1">
        <f t="shared" si="32"/>
        <v>1</v>
      </c>
    </row>
    <row r="191" spans="1:28" outlineLevel="1">
      <c r="A191" s="1" t="s">
        <v>296</v>
      </c>
      <c r="B191" s="1" t="s">
        <v>297</v>
      </c>
      <c r="D191" s="88">
        <v>0</v>
      </c>
      <c r="E191" s="88">
        <v>0</v>
      </c>
      <c r="F191" s="88">
        <v>0</v>
      </c>
      <c r="G191" s="1">
        <f t="shared" si="30"/>
        <v>0</v>
      </c>
      <c r="I191" s="6">
        <f t="shared" si="31"/>
        <v>0</v>
      </c>
      <c r="J191" s="7">
        <f>IFR!AD191</f>
        <v>0</v>
      </c>
      <c r="K191" s="8">
        <f t="shared" si="20"/>
        <v>0.95</v>
      </c>
      <c r="L191" s="6">
        <f t="shared" si="26"/>
        <v>0</v>
      </c>
      <c r="M191" s="8">
        <v>1</v>
      </c>
      <c r="N191" s="8">
        <v>1</v>
      </c>
      <c r="P191" s="6">
        <f t="shared" si="27"/>
        <v>0</v>
      </c>
      <c r="R191" s="9">
        <f t="shared" si="23"/>
        <v>0</v>
      </c>
      <c r="T191" s="10">
        <f>+R191*([1]assessment!$J$272*[1]assessment!$E$3)</f>
        <v>0</v>
      </c>
      <c r="V191" s="7">
        <f>+T191/[1]payroll!$F191</f>
        <v>0</v>
      </c>
      <c r="X191" s="10">
        <f>IF(V191&lt;$X$2,T191,[1]payroll!$F191*$X$2)</f>
        <v>0</v>
      </c>
      <c r="Z191" s="10">
        <f t="shared" si="28"/>
        <v>0</v>
      </c>
      <c r="AB191" s="1" t="e">
        <f t="shared" si="32"/>
        <v>#DIV/0!</v>
      </c>
    </row>
    <row r="192" spans="1:28" outlineLevel="1">
      <c r="A192" s="1" t="s">
        <v>298</v>
      </c>
      <c r="B192" s="1" t="s">
        <v>299</v>
      </c>
      <c r="D192" s="88">
        <v>0</v>
      </c>
      <c r="E192" s="88">
        <v>0</v>
      </c>
      <c r="F192" s="88">
        <v>0</v>
      </c>
      <c r="G192" s="1">
        <f t="shared" si="30"/>
        <v>0</v>
      </c>
      <c r="I192" s="6">
        <f t="shared" si="31"/>
        <v>0</v>
      </c>
      <c r="J192" s="7">
        <f>IFR!AD192</f>
        <v>0</v>
      </c>
      <c r="K192" s="8">
        <f t="shared" si="20"/>
        <v>0.95</v>
      </c>
      <c r="L192" s="6">
        <f t="shared" si="26"/>
        <v>0</v>
      </c>
      <c r="M192" s="8">
        <v>1</v>
      </c>
      <c r="N192" s="8">
        <v>1</v>
      </c>
      <c r="P192" s="6">
        <f t="shared" si="27"/>
        <v>0</v>
      </c>
      <c r="R192" s="9">
        <f t="shared" si="23"/>
        <v>0</v>
      </c>
      <c r="T192" s="10">
        <f>+R192*([1]assessment!$J$272*[1]assessment!$E$3)</f>
        <v>0</v>
      </c>
      <c r="V192" s="7">
        <f>+T192/[1]payroll!$F192</f>
        <v>0</v>
      </c>
      <c r="X192" s="10">
        <f>IF(V192&lt;$X$2,T192,[1]payroll!$F192*$X$2)</f>
        <v>0</v>
      </c>
      <c r="Z192" s="10">
        <f t="shared" si="28"/>
        <v>0</v>
      </c>
      <c r="AB192" s="1" t="e">
        <f t="shared" si="32"/>
        <v>#DIV/0!</v>
      </c>
    </row>
    <row r="193" spans="1:28" outlineLevel="1">
      <c r="A193" s="1" t="s">
        <v>300</v>
      </c>
      <c r="B193" s="1" t="s">
        <v>301</v>
      </c>
      <c r="D193" s="88">
        <v>0</v>
      </c>
      <c r="E193" s="88">
        <v>0</v>
      </c>
      <c r="F193" s="88">
        <v>0</v>
      </c>
      <c r="G193" s="1">
        <f t="shared" si="30"/>
        <v>0</v>
      </c>
      <c r="I193" s="6">
        <f t="shared" si="31"/>
        <v>0</v>
      </c>
      <c r="J193" s="7">
        <f>IFR!AD193</f>
        <v>0</v>
      </c>
      <c r="K193" s="8">
        <f t="shared" si="20"/>
        <v>0.95</v>
      </c>
      <c r="L193" s="6">
        <f t="shared" si="26"/>
        <v>0</v>
      </c>
      <c r="M193" s="8">
        <v>1</v>
      </c>
      <c r="N193" s="8">
        <v>1</v>
      </c>
      <c r="P193" s="6">
        <f t="shared" si="27"/>
        <v>0</v>
      </c>
      <c r="R193" s="9">
        <f t="shared" si="23"/>
        <v>0</v>
      </c>
      <c r="T193" s="10">
        <f>+R193*([1]assessment!$J$272*[1]assessment!$E$3)</f>
        <v>0</v>
      </c>
      <c r="V193" s="7">
        <f>+T193/[1]payroll!$F193</f>
        <v>0</v>
      </c>
      <c r="X193" s="10">
        <f>IF(V193&lt;$X$2,T193,[1]payroll!$F193*$X$2)</f>
        <v>0</v>
      </c>
      <c r="Z193" s="10">
        <f t="shared" si="28"/>
        <v>0</v>
      </c>
      <c r="AB193" s="1" t="e">
        <f t="shared" si="32"/>
        <v>#DIV/0!</v>
      </c>
    </row>
    <row r="194" spans="1:28" outlineLevel="1">
      <c r="A194" s="1" t="s">
        <v>302</v>
      </c>
      <c r="B194" s="1" t="s">
        <v>303</v>
      </c>
      <c r="D194" s="88">
        <v>0</v>
      </c>
      <c r="E194" s="88">
        <v>0</v>
      </c>
      <c r="F194" s="88">
        <v>0</v>
      </c>
      <c r="G194" s="1">
        <f t="shared" si="30"/>
        <v>0</v>
      </c>
      <c r="I194" s="6">
        <f t="shared" si="31"/>
        <v>0</v>
      </c>
      <c r="J194" s="7">
        <f>IFR!AD194</f>
        <v>0</v>
      </c>
      <c r="K194" s="8">
        <f t="shared" si="20"/>
        <v>0.95</v>
      </c>
      <c r="L194" s="6">
        <f t="shared" si="26"/>
        <v>0</v>
      </c>
      <c r="M194" s="8">
        <v>1</v>
      </c>
      <c r="N194" s="8">
        <v>1</v>
      </c>
      <c r="P194" s="6">
        <f t="shared" si="27"/>
        <v>0</v>
      </c>
      <c r="R194" s="9">
        <f t="shared" si="23"/>
        <v>0</v>
      </c>
      <c r="T194" s="10">
        <f>+R194*([1]assessment!$J$272*[1]assessment!$E$3)</f>
        <v>0</v>
      </c>
      <c r="V194" s="7">
        <f>+T194/[1]payroll!$F194</f>
        <v>0</v>
      </c>
      <c r="X194" s="10">
        <f>IF(V194&lt;$X$2,T194,[1]payroll!$F194*$X$2)</f>
        <v>0</v>
      </c>
      <c r="Z194" s="10">
        <f t="shared" si="28"/>
        <v>0</v>
      </c>
      <c r="AB194" s="1" t="e">
        <f t="shared" si="32"/>
        <v>#DIV/0!</v>
      </c>
    </row>
    <row r="195" spans="1:28" outlineLevel="1">
      <c r="A195" s="1" t="s">
        <v>304</v>
      </c>
      <c r="B195" s="1" t="s">
        <v>305</v>
      </c>
      <c r="D195" s="88">
        <v>0</v>
      </c>
      <c r="E195" s="88">
        <v>1</v>
      </c>
      <c r="F195" s="88">
        <v>0</v>
      </c>
      <c r="G195" s="1">
        <f t="shared" si="30"/>
        <v>1</v>
      </c>
      <c r="I195" s="6">
        <f t="shared" si="31"/>
        <v>0.33333333333333331</v>
      </c>
      <c r="J195" s="7">
        <f>IFR!AD195</f>
        <v>3.3333333333333335E-3</v>
      </c>
      <c r="K195" s="8">
        <f t="shared" si="20"/>
        <v>0.95</v>
      </c>
      <c r="L195" s="6">
        <f t="shared" si="26"/>
        <v>0.31666666666666665</v>
      </c>
      <c r="M195" s="8">
        <v>1</v>
      </c>
      <c r="N195" s="8">
        <v>1</v>
      </c>
      <c r="P195" s="6">
        <f t="shared" si="27"/>
        <v>0.31666666666666665</v>
      </c>
      <c r="R195" s="9">
        <f t="shared" si="23"/>
        <v>5.7253748613856657E-5</v>
      </c>
      <c r="T195" s="10">
        <f>+R195*([1]assessment!$J$272*[1]assessment!$E$3)</f>
        <v>515.51898172701442</v>
      </c>
      <c r="V195" s="7">
        <f>+T195/[1]payroll!$F195</f>
        <v>9.5034036858836419E-4</v>
      </c>
      <c r="X195" s="10">
        <f>IF(V195&lt;$X$2,T195,[1]payroll!$F195*$X$2)</f>
        <v>515.51898172701442</v>
      </c>
      <c r="Z195" s="10">
        <f t="shared" si="28"/>
        <v>0</v>
      </c>
      <c r="AB195" s="1">
        <f t="shared" si="32"/>
        <v>1</v>
      </c>
    </row>
    <row r="196" spans="1:28" outlineLevel="1">
      <c r="A196" s="1" t="s">
        <v>306</v>
      </c>
      <c r="B196" s="1" t="s">
        <v>307</v>
      </c>
      <c r="D196" s="88">
        <v>0</v>
      </c>
      <c r="E196" s="88">
        <v>0</v>
      </c>
      <c r="F196" s="88">
        <v>0</v>
      </c>
      <c r="G196" s="1">
        <f t="shared" si="30"/>
        <v>0</v>
      </c>
      <c r="I196" s="6">
        <f t="shared" si="31"/>
        <v>0</v>
      </c>
      <c r="J196" s="7">
        <f>IFR!AD196</f>
        <v>0</v>
      </c>
      <c r="K196" s="8">
        <f t="shared" si="20"/>
        <v>0.95</v>
      </c>
      <c r="L196" s="6">
        <f t="shared" si="26"/>
        <v>0</v>
      </c>
      <c r="M196" s="8">
        <v>1</v>
      </c>
      <c r="N196" s="8">
        <v>1</v>
      </c>
      <c r="P196" s="6">
        <f t="shared" si="27"/>
        <v>0</v>
      </c>
      <c r="R196" s="9">
        <f t="shared" si="23"/>
        <v>0</v>
      </c>
      <c r="T196" s="10">
        <f>+R196*([1]assessment!$J$272*[1]assessment!$E$3)</f>
        <v>0</v>
      </c>
      <c r="V196" s="7">
        <f>+T196/[1]payroll!$F196</f>
        <v>0</v>
      </c>
      <c r="X196" s="10">
        <f>IF(V196&lt;$X$2,T196,[1]payroll!$F196*$X$2)</f>
        <v>0</v>
      </c>
      <c r="Z196" s="10">
        <f t="shared" si="28"/>
        <v>0</v>
      </c>
      <c r="AB196" s="1" t="e">
        <f t="shared" si="32"/>
        <v>#DIV/0!</v>
      </c>
    </row>
    <row r="197" spans="1:28" outlineLevel="1">
      <c r="A197" s="1" t="s">
        <v>308</v>
      </c>
      <c r="B197" s="1" t="s">
        <v>309</v>
      </c>
      <c r="D197" s="88">
        <v>1</v>
      </c>
      <c r="E197" s="88">
        <v>1</v>
      </c>
      <c r="F197" s="88">
        <v>0</v>
      </c>
      <c r="G197" s="1">
        <f t="shared" si="30"/>
        <v>2</v>
      </c>
      <c r="I197" s="6">
        <f t="shared" si="31"/>
        <v>0.66666666666666663</v>
      </c>
      <c r="J197" s="7">
        <f>IFR!AD197</f>
        <v>5.0000000000000001E-3</v>
      </c>
      <c r="K197" s="8">
        <f t="shared" ref="K197:K260" si="33">IF(+J197&lt;$E$267,$I$267,IF(J197&gt;$E$269,$I$269,$I$268))</f>
        <v>0.95</v>
      </c>
      <c r="L197" s="6">
        <f t="shared" si="26"/>
        <v>0.6333333333333333</v>
      </c>
      <c r="M197" s="8">
        <v>1</v>
      </c>
      <c r="N197" s="8">
        <v>1</v>
      </c>
      <c r="P197" s="6">
        <f t="shared" si="27"/>
        <v>0.6333333333333333</v>
      </c>
      <c r="R197" s="9">
        <f t="shared" ref="R197:R261" si="34">+P197/$P$264</f>
        <v>1.1450749722771331E-4</v>
      </c>
      <c r="T197" s="10">
        <f>+R197*([1]assessment!$J$272*[1]assessment!$E$3)</f>
        <v>1031.0379634540288</v>
      </c>
      <c r="V197" s="7">
        <f>+T197/[1]payroll!$F197</f>
        <v>3.5895024304372081E-3</v>
      </c>
      <c r="X197" s="10">
        <f>IF(V197&lt;$X$2,T197,[1]payroll!$F197*$X$2)</f>
        <v>1031.0379634540288</v>
      </c>
      <c r="Z197" s="10">
        <f t="shared" si="28"/>
        <v>0</v>
      </c>
      <c r="AB197" s="1">
        <f t="shared" si="32"/>
        <v>1</v>
      </c>
    </row>
    <row r="198" spans="1:28" outlineLevel="1">
      <c r="A198" s="1" t="s">
        <v>310</v>
      </c>
      <c r="B198" s="11" t="s">
        <v>584</v>
      </c>
      <c r="D198" s="88">
        <v>0</v>
      </c>
      <c r="E198" s="88">
        <v>0</v>
      </c>
      <c r="F198" s="88">
        <v>0</v>
      </c>
      <c r="G198" s="1">
        <f t="shared" si="30"/>
        <v>0</v>
      </c>
      <c r="I198" s="6">
        <f t="shared" si="31"/>
        <v>0</v>
      </c>
      <c r="J198" s="7">
        <f>IFR!AD198</f>
        <v>0</v>
      </c>
      <c r="K198" s="8">
        <f t="shared" si="33"/>
        <v>0.95</v>
      </c>
      <c r="L198" s="6">
        <f t="shared" si="26"/>
        <v>0</v>
      </c>
      <c r="M198" s="8">
        <v>1</v>
      </c>
      <c r="N198" s="8">
        <v>1</v>
      </c>
      <c r="P198" s="6">
        <f t="shared" si="27"/>
        <v>0</v>
      </c>
      <c r="R198" s="9">
        <f t="shared" si="34"/>
        <v>0</v>
      </c>
      <c r="T198" s="10">
        <f>+R198*([1]assessment!$J$272*[1]assessment!$E$3)</f>
        <v>0</v>
      </c>
      <c r="V198" s="7">
        <f>+T198/[1]payroll!$F198</f>
        <v>0</v>
      </c>
      <c r="X198" s="10">
        <f>IF(V198&lt;$X$2,T198,[1]payroll!$F198*$X$2)</f>
        <v>0</v>
      </c>
      <c r="Z198" s="10">
        <f t="shared" si="28"/>
        <v>0</v>
      </c>
      <c r="AB198" s="1" t="e">
        <f t="shared" si="32"/>
        <v>#DIV/0!</v>
      </c>
    </row>
    <row r="199" spans="1:28" outlineLevel="1">
      <c r="A199" s="1" t="s">
        <v>312</v>
      </c>
      <c r="B199" s="1" t="s">
        <v>313</v>
      </c>
      <c r="D199" s="88">
        <v>1</v>
      </c>
      <c r="E199" s="88">
        <v>0</v>
      </c>
      <c r="F199" s="88">
        <v>0</v>
      </c>
      <c r="G199" s="1">
        <f t="shared" si="30"/>
        <v>1</v>
      </c>
      <c r="I199" s="6">
        <f t="shared" si="31"/>
        <v>0.33333333333333331</v>
      </c>
      <c r="J199" s="7">
        <f>IFR!AD199</f>
        <v>1.6666666666666668E-3</v>
      </c>
      <c r="K199" s="8">
        <f t="shared" si="33"/>
        <v>0.95</v>
      </c>
      <c r="L199" s="6">
        <f t="shared" si="26"/>
        <v>0.31666666666666665</v>
      </c>
      <c r="M199" s="8">
        <v>1</v>
      </c>
      <c r="N199" s="8">
        <v>1</v>
      </c>
      <c r="P199" s="6">
        <f t="shared" si="27"/>
        <v>0.31666666666666665</v>
      </c>
      <c r="R199" s="9">
        <f t="shared" si="34"/>
        <v>5.7253748613856657E-5</v>
      </c>
      <c r="T199" s="10">
        <f>+R199*([1]assessment!$J$272*[1]assessment!$E$3)</f>
        <v>515.51898172701442</v>
      </c>
      <c r="V199" s="7">
        <f>+T199/[1]payroll!$F199</f>
        <v>1.3706542256528253E-4</v>
      </c>
      <c r="X199" s="10">
        <f>IF(V199&lt;$X$2,T199,[1]payroll!$F199*$X$2)</f>
        <v>515.51898172701442</v>
      </c>
      <c r="Z199" s="10">
        <f t="shared" si="28"/>
        <v>0</v>
      </c>
      <c r="AB199" s="1">
        <f t="shared" si="32"/>
        <v>1</v>
      </c>
    </row>
    <row r="200" spans="1:28" outlineLevel="1">
      <c r="A200" s="1" t="s">
        <v>314</v>
      </c>
      <c r="B200" s="1" t="s">
        <v>315</v>
      </c>
      <c r="D200" s="88">
        <v>0</v>
      </c>
      <c r="E200" s="88">
        <v>0</v>
      </c>
      <c r="F200" s="88">
        <v>0</v>
      </c>
      <c r="G200" s="1">
        <f t="shared" si="30"/>
        <v>0</v>
      </c>
      <c r="I200" s="6">
        <f t="shared" si="31"/>
        <v>0</v>
      </c>
      <c r="J200" s="7">
        <f>IFR!AD200</f>
        <v>0</v>
      </c>
      <c r="K200" s="8">
        <f t="shared" si="33"/>
        <v>0.95</v>
      </c>
      <c r="L200" s="6">
        <f t="shared" si="26"/>
        <v>0</v>
      </c>
      <c r="M200" s="8">
        <v>1</v>
      </c>
      <c r="N200" s="8">
        <v>1</v>
      </c>
      <c r="P200" s="6">
        <f t="shared" si="27"/>
        <v>0</v>
      </c>
      <c r="R200" s="9">
        <f t="shared" si="34"/>
        <v>0</v>
      </c>
      <c r="T200" s="10">
        <f>+R200*([1]assessment!$J$272*[1]assessment!$E$3)</f>
        <v>0</v>
      </c>
      <c r="V200" s="7">
        <f>+T200/[1]payroll!$F200</f>
        <v>0</v>
      </c>
      <c r="X200" s="10">
        <f>IF(V200&lt;$X$2,T200,[1]payroll!$F200*$X$2)</f>
        <v>0</v>
      </c>
      <c r="Z200" s="10">
        <f t="shared" si="28"/>
        <v>0</v>
      </c>
      <c r="AB200" s="1" t="e">
        <f t="shared" si="32"/>
        <v>#DIV/0!</v>
      </c>
    </row>
    <row r="201" spans="1:28" outlineLevel="1">
      <c r="A201" s="1" t="s">
        <v>316</v>
      </c>
      <c r="B201" s="1" t="s">
        <v>317</v>
      </c>
      <c r="D201" s="88">
        <v>1</v>
      </c>
      <c r="E201" s="88">
        <v>1</v>
      </c>
      <c r="F201" s="88">
        <v>0</v>
      </c>
      <c r="G201" s="1">
        <f t="shared" si="30"/>
        <v>2</v>
      </c>
      <c r="I201" s="6">
        <f t="shared" si="31"/>
        <v>0.66666666666666663</v>
      </c>
      <c r="J201" s="7">
        <f>IFR!AD201</f>
        <v>5.0000000000000001E-3</v>
      </c>
      <c r="K201" s="8">
        <f t="shared" si="33"/>
        <v>0.95</v>
      </c>
      <c r="L201" s="6">
        <f t="shared" si="26"/>
        <v>0.6333333333333333</v>
      </c>
      <c r="M201" s="8">
        <v>1</v>
      </c>
      <c r="N201" s="8">
        <v>1</v>
      </c>
      <c r="P201" s="6">
        <f t="shared" si="27"/>
        <v>0.6333333333333333</v>
      </c>
      <c r="R201" s="9">
        <f t="shared" si="34"/>
        <v>1.1450749722771331E-4</v>
      </c>
      <c r="T201" s="10">
        <f>+R201*([1]assessment!$J$272*[1]assessment!$E$3)</f>
        <v>1031.0379634540288</v>
      </c>
      <c r="V201" s="7">
        <f>+T201/[1]payroll!$F201</f>
        <v>3.9814135669635612E-4</v>
      </c>
      <c r="X201" s="10">
        <f>IF(V201&lt;$X$2,T201,[1]payroll!$F201*$X$2)</f>
        <v>1031.0379634540288</v>
      </c>
      <c r="Z201" s="10">
        <f t="shared" si="28"/>
        <v>0</v>
      </c>
      <c r="AB201" s="1">
        <f t="shared" si="32"/>
        <v>1</v>
      </c>
    </row>
    <row r="202" spans="1:28" outlineLevel="1">
      <c r="A202" s="1" t="s">
        <v>318</v>
      </c>
      <c r="B202" s="1" t="s">
        <v>319</v>
      </c>
      <c r="D202" s="88">
        <v>0</v>
      </c>
      <c r="E202" s="88">
        <v>0</v>
      </c>
      <c r="F202" s="88">
        <v>0</v>
      </c>
      <c r="G202" s="1">
        <f t="shared" si="30"/>
        <v>0</v>
      </c>
      <c r="I202" s="6">
        <f t="shared" si="31"/>
        <v>0</v>
      </c>
      <c r="J202" s="7">
        <f>IFR!AD202</f>
        <v>0</v>
      </c>
      <c r="K202" s="8">
        <f t="shared" si="33"/>
        <v>0.95</v>
      </c>
      <c r="L202" s="6">
        <f t="shared" si="26"/>
        <v>0</v>
      </c>
      <c r="M202" s="8">
        <v>1</v>
      </c>
      <c r="N202" s="8">
        <v>1</v>
      </c>
      <c r="P202" s="6">
        <f t="shared" si="27"/>
        <v>0</v>
      </c>
      <c r="R202" s="9">
        <f t="shared" si="34"/>
        <v>0</v>
      </c>
      <c r="T202" s="10">
        <f>+R202*([1]assessment!$J$272*[1]assessment!$E$3)</f>
        <v>0</v>
      </c>
      <c r="V202" s="7">
        <f>+T202/[1]payroll!$F202</f>
        <v>0</v>
      </c>
      <c r="X202" s="10">
        <f>IF(V202&lt;$X$2,T202,[1]payroll!$F202*$X$2)</f>
        <v>0</v>
      </c>
      <c r="Z202" s="10">
        <f t="shared" si="28"/>
        <v>0</v>
      </c>
      <c r="AB202" s="1" t="e">
        <f t="shared" si="32"/>
        <v>#DIV/0!</v>
      </c>
    </row>
    <row r="203" spans="1:28" outlineLevel="1">
      <c r="A203" s="1" t="s">
        <v>320</v>
      </c>
      <c r="B203" s="1" t="s">
        <v>321</v>
      </c>
      <c r="D203" s="88">
        <v>0</v>
      </c>
      <c r="E203" s="88">
        <v>0</v>
      </c>
      <c r="F203" s="88">
        <v>0</v>
      </c>
      <c r="G203" s="1">
        <f t="shared" si="30"/>
        <v>0</v>
      </c>
      <c r="I203" s="6">
        <f t="shared" si="31"/>
        <v>0</v>
      </c>
      <c r="J203" s="7">
        <f>IFR!AD203</f>
        <v>0</v>
      </c>
      <c r="K203" s="8">
        <f t="shared" si="33"/>
        <v>0.95</v>
      </c>
      <c r="L203" s="6">
        <f t="shared" si="26"/>
        <v>0</v>
      </c>
      <c r="M203" s="8">
        <v>1</v>
      </c>
      <c r="N203" s="8">
        <v>1</v>
      </c>
      <c r="P203" s="6">
        <f t="shared" si="27"/>
        <v>0</v>
      </c>
      <c r="R203" s="9">
        <f t="shared" si="34"/>
        <v>0</v>
      </c>
      <c r="T203" s="10">
        <f>+R203*([1]assessment!$J$272*[1]assessment!$E$3)</f>
        <v>0</v>
      </c>
      <c r="V203" s="7">
        <f>+T203/[1]payroll!$F203</f>
        <v>0</v>
      </c>
      <c r="X203" s="10">
        <f>IF(V203&lt;$X$2,T203,[1]payroll!$F203*$X$2)</f>
        <v>0</v>
      </c>
      <c r="Z203" s="10">
        <f t="shared" si="28"/>
        <v>0</v>
      </c>
      <c r="AB203" s="1" t="e">
        <f t="shared" si="32"/>
        <v>#DIV/0!</v>
      </c>
    </row>
    <row r="204" spans="1:28" outlineLevel="1">
      <c r="A204" s="1" t="s">
        <v>492</v>
      </c>
      <c r="B204" s="1" t="s">
        <v>490</v>
      </c>
      <c r="D204" s="88">
        <v>0</v>
      </c>
      <c r="E204" s="88">
        <v>0</v>
      </c>
      <c r="F204" s="88">
        <v>0</v>
      </c>
      <c r="G204" s="1">
        <f t="shared" si="30"/>
        <v>0</v>
      </c>
      <c r="I204" s="6">
        <f t="shared" si="31"/>
        <v>0</v>
      </c>
      <c r="J204" s="7">
        <f>IFR!AD204</f>
        <v>0</v>
      </c>
      <c r="K204" s="8">
        <f t="shared" si="33"/>
        <v>0.95</v>
      </c>
      <c r="L204" s="6">
        <f t="shared" ref="L204:L261" si="35">+I204*K204</f>
        <v>0</v>
      </c>
      <c r="M204" s="8">
        <v>1</v>
      </c>
      <c r="N204" s="8">
        <v>1</v>
      </c>
      <c r="P204" s="6">
        <f t="shared" ref="P204:P261" si="36">+L204*M204*N204</f>
        <v>0</v>
      </c>
      <c r="R204" s="9">
        <f t="shared" si="34"/>
        <v>0</v>
      </c>
      <c r="T204" s="10">
        <f>+R204*([1]assessment!$J$272*[1]assessment!$E$3)</f>
        <v>0</v>
      </c>
      <c r="V204" s="7">
        <f>+T204/[1]payroll!$F204</f>
        <v>0</v>
      </c>
      <c r="X204" s="10">
        <f>IF(V204&lt;$X$2,T204,[1]payroll!$F204*$X$2)</f>
        <v>0</v>
      </c>
      <c r="Z204" s="10">
        <f t="shared" ref="Z204:Z262" si="37">+T204-X204</f>
        <v>0</v>
      </c>
      <c r="AB204" s="1" t="e">
        <f t="shared" si="32"/>
        <v>#DIV/0!</v>
      </c>
    </row>
    <row r="205" spans="1:28" outlineLevel="1">
      <c r="A205" s="1" t="s">
        <v>322</v>
      </c>
      <c r="B205" s="1" t="s">
        <v>323</v>
      </c>
      <c r="D205" s="88">
        <v>0</v>
      </c>
      <c r="E205" s="88">
        <v>0</v>
      </c>
      <c r="F205" s="88">
        <v>0</v>
      </c>
      <c r="G205" s="1">
        <f t="shared" ref="G205:G235" si="38">SUM(D205:F205)</f>
        <v>0</v>
      </c>
      <c r="I205" s="6">
        <f t="shared" ref="I205:I235" si="39">AVERAGE(D205:F205)</f>
        <v>0</v>
      </c>
      <c r="J205" s="7">
        <f>IFR!AD205</f>
        <v>0</v>
      </c>
      <c r="K205" s="8">
        <f t="shared" si="33"/>
        <v>0.95</v>
      </c>
      <c r="L205" s="6">
        <f t="shared" si="35"/>
        <v>0</v>
      </c>
      <c r="M205" s="8">
        <v>1</v>
      </c>
      <c r="N205" s="8">
        <v>1</v>
      </c>
      <c r="P205" s="6">
        <f t="shared" si="36"/>
        <v>0</v>
      </c>
      <c r="R205" s="9">
        <f t="shared" si="34"/>
        <v>0</v>
      </c>
      <c r="T205" s="10">
        <f>+R205*([1]assessment!$J$272*[1]assessment!$E$3)</f>
        <v>0</v>
      </c>
      <c r="V205" s="7">
        <f>+T205/[1]payroll!$F205</f>
        <v>0</v>
      </c>
      <c r="X205" s="10">
        <f>IF(V205&lt;$X$2,T205,[1]payroll!$F205*$X$2)</f>
        <v>0</v>
      </c>
      <c r="Z205" s="10">
        <f t="shared" si="37"/>
        <v>0</v>
      </c>
      <c r="AB205" s="1" t="e">
        <f t="shared" ref="AB205:AB235" si="40">+X205/T205</f>
        <v>#DIV/0!</v>
      </c>
    </row>
    <row r="206" spans="1:28" outlineLevel="1">
      <c r="A206" s="1" t="s">
        <v>324</v>
      </c>
      <c r="B206" s="1" t="s">
        <v>325</v>
      </c>
      <c r="D206" s="88">
        <v>0</v>
      </c>
      <c r="E206" s="88">
        <v>0</v>
      </c>
      <c r="F206" s="88">
        <v>0</v>
      </c>
      <c r="G206" s="1">
        <f t="shared" si="38"/>
        <v>0</v>
      </c>
      <c r="I206" s="6">
        <f t="shared" si="39"/>
        <v>0</v>
      </c>
      <c r="J206" s="7">
        <f>IFR!AD206</f>
        <v>0</v>
      </c>
      <c r="K206" s="8">
        <f t="shared" si="33"/>
        <v>0.95</v>
      </c>
      <c r="L206" s="6">
        <f t="shared" si="35"/>
        <v>0</v>
      </c>
      <c r="M206" s="8">
        <v>1</v>
      </c>
      <c r="N206" s="8">
        <v>1</v>
      </c>
      <c r="P206" s="6">
        <f t="shared" si="36"/>
        <v>0</v>
      </c>
      <c r="R206" s="9">
        <f t="shared" si="34"/>
        <v>0</v>
      </c>
      <c r="T206" s="10">
        <f>+R206*([1]assessment!$J$272*[1]assessment!$E$3)</f>
        <v>0</v>
      </c>
      <c r="V206" s="7">
        <f>+T206/[1]payroll!$F206</f>
        <v>0</v>
      </c>
      <c r="X206" s="10">
        <f>IF(V206&lt;$X$2,T206,[1]payroll!$F206*$X$2)</f>
        <v>0</v>
      </c>
      <c r="Z206" s="10">
        <f t="shared" si="37"/>
        <v>0</v>
      </c>
      <c r="AB206" s="1" t="e">
        <f t="shared" si="40"/>
        <v>#DIV/0!</v>
      </c>
    </row>
    <row r="207" spans="1:28" outlineLevel="1">
      <c r="A207" s="1" t="s">
        <v>326</v>
      </c>
      <c r="B207" s="1" t="s">
        <v>327</v>
      </c>
      <c r="D207" s="88">
        <v>0</v>
      </c>
      <c r="E207" s="88">
        <v>0</v>
      </c>
      <c r="F207" s="88">
        <v>0</v>
      </c>
      <c r="G207" s="1">
        <f t="shared" si="38"/>
        <v>0</v>
      </c>
      <c r="I207" s="6">
        <f t="shared" si="39"/>
        <v>0</v>
      </c>
      <c r="J207" s="7">
        <f>IFR!AD207</f>
        <v>0</v>
      </c>
      <c r="K207" s="8">
        <f t="shared" si="33"/>
        <v>0.95</v>
      </c>
      <c r="L207" s="6">
        <f t="shared" si="35"/>
        <v>0</v>
      </c>
      <c r="M207" s="8">
        <v>1</v>
      </c>
      <c r="N207" s="8">
        <v>1</v>
      </c>
      <c r="P207" s="6">
        <f t="shared" si="36"/>
        <v>0</v>
      </c>
      <c r="R207" s="9">
        <f t="shared" si="34"/>
        <v>0</v>
      </c>
      <c r="T207" s="10">
        <f>+R207*([1]assessment!$J$272*[1]assessment!$E$3)</f>
        <v>0</v>
      </c>
      <c r="V207" s="7">
        <f>+T207/[1]payroll!$F207</f>
        <v>0</v>
      </c>
      <c r="X207" s="10">
        <f>IF(V207&lt;$X$2,T207,[1]payroll!$F207*$X$2)</f>
        <v>0</v>
      </c>
      <c r="Z207" s="10">
        <f t="shared" si="37"/>
        <v>0</v>
      </c>
      <c r="AB207" s="1" t="e">
        <f t="shared" si="40"/>
        <v>#DIV/0!</v>
      </c>
    </row>
    <row r="208" spans="1:28" outlineLevel="1">
      <c r="A208" s="1" t="s">
        <v>328</v>
      </c>
      <c r="B208" s="1" t="s">
        <v>329</v>
      </c>
      <c r="D208" s="88">
        <v>0</v>
      </c>
      <c r="E208" s="88">
        <v>0</v>
      </c>
      <c r="F208" s="88">
        <v>0</v>
      </c>
      <c r="G208" s="1">
        <f t="shared" si="38"/>
        <v>0</v>
      </c>
      <c r="I208" s="6">
        <f t="shared" si="39"/>
        <v>0</v>
      </c>
      <c r="J208" s="7">
        <f>IFR!AD208</f>
        <v>0</v>
      </c>
      <c r="K208" s="8">
        <f t="shared" si="33"/>
        <v>0.95</v>
      </c>
      <c r="L208" s="6">
        <f t="shared" si="35"/>
        <v>0</v>
      </c>
      <c r="M208" s="8">
        <v>1</v>
      </c>
      <c r="N208" s="8">
        <v>1</v>
      </c>
      <c r="P208" s="6">
        <f t="shared" si="36"/>
        <v>0</v>
      </c>
      <c r="R208" s="9">
        <f t="shared" si="34"/>
        <v>0</v>
      </c>
      <c r="T208" s="10">
        <f>+R208*([1]assessment!$J$272*[1]assessment!$E$3)</f>
        <v>0</v>
      </c>
      <c r="V208" s="7">
        <f>+T208/[1]payroll!$F208</f>
        <v>0</v>
      </c>
      <c r="X208" s="10">
        <f>IF(V208&lt;$X$2,T208,[1]payroll!$F208*$X$2)</f>
        <v>0</v>
      </c>
      <c r="Z208" s="10">
        <f t="shared" si="37"/>
        <v>0</v>
      </c>
      <c r="AB208" s="1" t="e">
        <f t="shared" si="40"/>
        <v>#DIV/0!</v>
      </c>
    </row>
    <row r="209" spans="1:28" outlineLevel="1">
      <c r="A209" s="1" t="s">
        <v>330</v>
      </c>
      <c r="B209" s="1" t="s">
        <v>331</v>
      </c>
      <c r="D209" s="88">
        <v>0</v>
      </c>
      <c r="E209" s="88">
        <v>0</v>
      </c>
      <c r="F209" s="88">
        <v>1</v>
      </c>
      <c r="G209" s="1">
        <f t="shared" si="38"/>
        <v>1</v>
      </c>
      <c r="I209" s="6">
        <f t="shared" si="39"/>
        <v>0.33333333333333331</v>
      </c>
      <c r="J209" s="7">
        <f>IFR!AD209</f>
        <v>5.0000000000000001E-3</v>
      </c>
      <c r="K209" s="8">
        <f t="shared" si="33"/>
        <v>0.95</v>
      </c>
      <c r="L209" s="6">
        <f t="shared" si="35"/>
        <v>0.31666666666666665</v>
      </c>
      <c r="M209" s="8">
        <v>1</v>
      </c>
      <c r="N209" s="8">
        <v>1</v>
      </c>
      <c r="P209" s="6">
        <f t="shared" si="36"/>
        <v>0.31666666666666665</v>
      </c>
      <c r="R209" s="9">
        <f t="shared" si="34"/>
        <v>5.7253748613856657E-5</v>
      </c>
      <c r="T209" s="10">
        <f>+R209*([1]assessment!$J$272*[1]assessment!$E$3)</f>
        <v>515.51898172701442</v>
      </c>
      <c r="V209" s="7">
        <f>+T209/[1]payroll!$F209</f>
        <v>2.9566307276139445E-4</v>
      </c>
      <c r="X209" s="10">
        <f>IF(V209&lt;$X$2,T209,[1]payroll!$F209*$X$2)</f>
        <v>515.51898172701442</v>
      </c>
      <c r="Z209" s="10">
        <f t="shared" si="37"/>
        <v>0</v>
      </c>
      <c r="AB209" s="1">
        <f t="shared" si="40"/>
        <v>1</v>
      </c>
    </row>
    <row r="210" spans="1:28" outlineLevel="1">
      <c r="A210" s="1" t="s">
        <v>332</v>
      </c>
      <c r="B210" s="1" t="s">
        <v>561</v>
      </c>
      <c r="D210" s="88">
        <v>0</v>
      </c>
      <c r="E210" s="88">
        <v>0</v>
      </c>
      <c r="F210" s="88">
        <v>0</v>
      </c>
      <c r="G210" s="1">
        <f t="shared" si="38"/>
        <v>0</v>
      </c>
      <c r="I210" s="6">
        <f t="shared" si="39"/>
        <v>0</v>
      </c>
      <c r="J210" s="7">
        <f>IFR!AD210</f>
        <v>0</v>
      </c>
      <c r="K210" s="8">
        <f t="shared" si="33"/>
        <v>0.95</v>
      </c>
      <c r="L210" s="6">
        <f t="shared" si="35"/>
        <v>0</v>
      </c>
      <c r="M210" s="8">
        <v>1</v>
      </c>
      <c r="N210" s="8">
        <v>1</v>
      </c>
      <c r="P210" s="6">
        <f t="shared" si="36"/>
        <v>0</v>
      </c>
      <c r="R210" s="9">
        <f t="shared" si="34"/>
        <v>0</v>
      </c>
      <c r="T210" s="10">
        <f>+R210*([1]assessment!$J$272*[1]assessment!$E$3)</f>
        <v>0</v>
      </c>
      <c r="V210" s="7">
        <f>+T210/[1]payroll!$F210</f>
        <v>0</v>
      </c>
      <c r="X210" s="10">
        <f>IF(V210&lt;$X$2,T210,[1]payroll!$F210*$X$2)</f>
        <v>0</v>
      </c>
      <c r="Z210" s="10">
        <f t="shared" si="37"/>
        <v>0</v>
      </c>
      <c r="AB210" s="1" t="e">
        <f t="shared" si="40"/>
        <v>#DIV/0!</v>
      </c>
    </row>
    <row r="211" spans="1:28" outlineLevel="1">
      <c r="A211" s="1" t="s">
        <v>334</v>
      </c>
      <c r="B211" s="1" t="s">
        <v>335</v>
      </c>
      <c r="D211" s="88">
        <v>0</v>
      </c>
      <c r="E211" s="88">
        <v>0</v>
      </c>
      <c r="F211" s="88">
        <v>0</v>
      </c>
      <c r="G211" s="1">
        <f t="shared" si="38"/>
        <v>0</v>
      </c>
      <c r="I211" s="6">
        <f t="shared" si="39"/>
        <v>0</v>
      </c>
      <c r="J211" s="7">
        <f>IFR!AD211</f>
        <v>0</v>
      </c>
      <c r="K211" s="8">
        <f t="shared" si="33"/>
        <v>0.95</v>
      </c>
      <c r="L211" s="6">
        <f t="shared" si="35"/>
        <v>0</v>
      </c>
      <c r="M211" s="8">
        <v>1</v>
      </c>
      <c r="N211" s="8">
        <v>1</v>
      </c>
      <c r="P211" s="6">
        <f t="shared" si="36"/>
        <v>0</v>
      </c>
      <c r="R211" s="9">
        <f t="shared" si="34"/>
        <v>0</v>
      </c>
      <c r="T211" s="10">
        <f>+R211*([1]assessment!$J$272*[1]assessment!$E$3)</f>
        <v>0</v>
      </c>
      <c r="V211" s="7">
        <f>+T211/[1]payroll!$F211</f>
        <v>0</v>
      </c>
      <c r="X211" s="10">
        <f>IF(V211&lt;$X$2,T211,[1]payroll!$F211*$X$2)</f>
        <v>0</v>
      </c>
      <c r="Z211" s="10">
        <f t="shared" si="37"/>
        <v>0</v>
      </c>
      <c r="AB211" s="1" t="e">
        <f t="shared" si="40"/>
        <v>#DIV/0!</v>
      </c>
    </row>
    <row r="212" spans="1:28" outlineLevel="1">
      <c r="A212" s="1" t="s">
        <v>336</v>
      </c>
      <c r="B212" s="1" t="s">
        <v>337</v>
      </c>
      <c r="D212" s="88">
        <v>2</v>
      </c>
      <c r="E212" s="88">
        <v>1</v>
      </c>
      <c r="F212" s="88">
        <v>4</v>
      </c>
      <c r="G212" s="1">
        <f t="shared" si="38"/>
        <v>7</v>
      </c>
      <c r="I212" s="6">
        <f t="shared" si="39"/>
        <v>2.3333333333333335</v>
      </c>
      <c r="J212" s="7">
        <f>IFR!AD212</f>
        <v>2.4225022994506174E-2</v>
      </c>
      <c r="K212" s="8">
        <f t="shared" si="33"/>
        <v>0.95</v>
      </c>
      <c r="L212" s="6">
        <f t="shared" si="35"/>
        <v>2.2166666666666668</v>
      </c>
      <c r="M212" s="8">
        <v>1</v>
      </c>
      <c r="N212" s="8">
        <v>1</v>
      </c>
      <c r="P212" s="6">
        <f t="shared" si="36"/>
        <v>2.2166666666666668</v>
      </c>
      <c r="R212" s="9">
        <f t="shared" si="34"/>
        <v>4.0077624029699664E-4</v>
      </c>
      <c r="T212" s="10">
        <f>+R212*([1]assessment!$J$272*[1]assessment!$E$3)</f>
        <v>3608.6328720891015</v>
      </c>
      <c r="V212" s="7">
        <f>+T212/[1]payroll!$F212</f>
        <v>6.8250298564469746E-4</v>
      </c>
      <c r="X212" s="10">
        <f>IF(V212&lt;$X$2,T212,[1]payroll!$F212*$X$2)</f>
        <v>3608.6328720891015</v>
      </c>
      <c r="Z212" s="10">
        <f t="shared" si="37"/>
        <v>0</v>
      </c>
      <c r="AB212" s="1">
        <f t="shared" si="40"/>
        <v>1</v>
      </c>
    </row>
    <row r="213" spans="1:28" outlineLevel="1">
      <c r="A213" s="1" t="s">
        <v>589</v>
      </c>
      <c r="B213" s="1" t="s">
        <v>339</v>
      </c>
      <c r="D213" s="88">
        <v>0</v>
      </c>
      <c r="E213" s="88">
        <v>0</v>
      </c>
      <c r="F213" s="88">
        <v>0</v>
      </c>
      <c r="G213" s="1">
        <f t="shared" si="38"/>
        <v>0</v>
      </c>
      <c r="I213" s="6">
        <f t="shared" si="39"/>
        <v>0</v>
      </c>
      <c r="J213" s="7">
        <f>IFR!AD213</f>
        <v>0</v>
      </c>
      <c r="K213" s="8">
        <f t="shared" si="33"/>
        <v>0.95</v>
      </c>
      <c r="L213" s="6">
        <f t="shared" si="35"/>
        <v>0</v>
      </c>
      <c r="M213" s="8">
        <v>1</v>
      </c>
      <c r="N213" s="8">
        <v>1</v>
      </c>
      <c r="P213" s="6">
        <f t="shared" si="36"/>
        <v>0</v>
      </c>
      <c r="R213" s="9">
        <f t="shared" si="34"/>
        <v>0</v>
      </c>
      <c r="T213" s="10">
        <f>+R213*([1]assessment!$J$272*[1]assessment!$E$3)</f>
        <v>0</v>
      </c>
      <c r="V213" s="7">
        <f>+T213/[1]payroll!$F213</f>
        <v>0</v>
      </c>
      <c r="X213" s="10">
        <f>IF(V213&lt;$X$2,T213,[1]payroll!$F213*$X$2)</f>
        <v>0</v>
      </c>
      <c r="Z213" s="10">
        <f t="shared" si="37"/>
        <v>0</v>
      </c>
      <c r="AB213" s="1" t="e">
        <f t="shared" si="40"/>
        <v>#DIV/0!</v>
      </c>
    </row>
    <row r="214" spans="1:28" outlineLevel="1">
      <c r="A214" s="1" t="s">
        <v>475</v>
      </c>
      <c r="B214" s="1" t="s">
        <v>342</v>
      </c>
      <c r="D214" s="88">
        <v>0</v>
      </c>
      <c r="E214" s="88">
        <v>0</v>
      </c>
      <c r="F214" s="88">
        <v>0</v>
      </c>
      <c r="G214" s="1">
        <f t="shared" si="38"/>
        <v>0</v>
      </c>
      <c r="I214" s="6">
        <f t="shared" si="39"/>
        <v>0</v>
      </c>
      <c r="J214" s="7">
        <f>IFR!AD214</f>
        <v>0</v>
      </c>
      <c r="K214" s="8">
        <f t="shared" si="33"/>
        <v>0.95</v>
      </c>
      <c r="L214" s="6">
        <f t="shared" si="35"/>
        <v>0</v>
      </c>
      <c r="M214" s="8">
        <v>1</v>
      </c>
      <c r="N214" s="8">
        <v>1</v>
      </c>
      <c r="P214" s="6">
        <f t="shared" si="36"/>
        <v>0</v>
      </c>
      <c r="R214" s="9">
        <f t="shared" si="34"/>
        <v>0</v>
      </c>
      <c r="T214" s="10">
        <f>+R214*([1]assessment!$J$272*[1]assessment!$E$3)</f>
        <v>0</v>
      </c>
      <c r="V214" s="7">
        <f>+T214/[1]payroll!$F214</f>
        <v>0</v>
      </c>
      <c r="X214" s="10">
        <f>IF(V214&lt;$X$2,T214,[1]payroll!$F214*$X$2)</f>
        <v>0</v>
      </c>
      <c r="Z214" s="10">
        <f t="shared" si="37"/>
        <v>0</v>
      </c>
      <c r="AB214" s="1" t="e">
        <f t="shared" si="40"/>
        <v>#DIV/0!</v>
      </c>
    </row>
    <row r="215" spans="1:28" outlineLevel="1">
      <c r="A215" s="1" t="s">
        <v>476</v>
      </c>
      <c r="B215" s="1" t="s">
        <v>338</v>
      </c>
      <c r="D215" s="88">
        <v>0</v>
      </c>
      <c r="E215" s="88">
        <v>0</v>
      </c>
      <c r="F215" s="88">
        <v>0</v>
      </c>
      <c r="G215" s="1">
        <f t="shared" si="38"/>
        <v>0</v>
      </c>
      <c r="I215" s="6">
        <f t="shared" si="39"/>
        <v>0</v>
      </c>
      <c r="J215" s="7">
        <f>IFR!AD215</f>
        <v>0</v>
      </c>
      <c r="K215" s="8">
        <f t="shared" si="33"/>
        <v>0.95</v>
      </c>
      <c r="L215" s="6">
        <f t="shared" si="35"/>
        <v>0</v>
      </c>
      <c r="M215" s="8">
        <v>1</v>
      </c>
      <c r="N215" s="8">
        <v>1</v>
      </c>
      <c r="P215" s="6">
        <f t="shared" si="36"/>
        <v>0</v>
      </c>
      <c r="R215" s="9">
        <f t="shared" si="34"/>
        <v>0</v>
      </c>
      <c r="T215" s="10">
        <f>+R215*([1]assessment!$J$272*[1]assessment!$E$3)</f>
        <v>0</v>
      </c>
      <c r="V215" s="7">
        <f>+T215/[1]payroll!$F215</f>
        <v>0</v>
      </c>
      <c r="X215" s="10">
        <f>IF(V215&lt;$X$2,T215,[1]payroll!$F215*$X$2)</f>
        <v>0</v>
      </c>
      <c r="Z215" s="10">
        <f t="shared" si="37"/>
        <v>0</v>
      </c>
      <c r="AB215" s="1" t="e">
        <f t="shared" si="40"/>
        <v>#DIV/0!</v>
      </c>
    </row>
    <row r="216" spans="1:28" outlineLevel="1">
      <c r="A216" s="1" t="s">
        <v>340</v>
      </c>
      <c r="B216" s="1" t="s">
        <v>341</v>
      </c>
      <c r="D216" s="88">
        <v>0</v>
      </c>
      <c r="E216" s="88">
        <v>0</v>
      </c>
      <c r="F216" s="88">
        <v>0</v>
      </c>
      <c r="G216" s="1">
        <f t="shared" si="38"/>
        <v>0</v>
      </c>
      <c r="I216" s="6">
        <f t="shared" si="39"/>
        <v>0</v>
      </c>
      <c r="J216" s="7">
        <f>IFR!AD216</f>
        <v>0</v>
      </c>
      <c r="K216" s="8">
        <f t="shared" si="33"/>
        <v>0.95</v>
      </c>
      <c r="L216" s="6">
        <f t="shared" si="35"/>
        <v>0</v>
      </c>
      <c r="M216" s="8">
        <v>1</v>
      </c>
      <c r="N216" s="8">
        <v>1</v>
      </c>
      <c r="P216" s="6">
        <f t="shared" si="36"/>
        <v>0</v>
      </c>
      <c r="R216" s="9">
        <f t="shared" si="34"/>
        <v>0</v>
      </c>
      <c r="T216" s="10">
        <f>+R216*([1]assessment!$J$272*[1]assessment!$E$3)</f>
        <v>0</v>
      </c>
      <c r="V216" s="7">
        <f>+T216/[1]payroll!$F216</f>
        <v>0</v>
      </c>
      <c r="X216" s="10">
        <f>IF(V216&lt;$X$2,T216,[1]payroll!$F216*$X$2)</f>
        <v>0</v>
      </c>
      <c r="Z216" s="10">
        <f t="shared" si="37"/>
        <v>0</v>
      </c>
      <c r="AB216" s="1" t="e">
        <f t="shared" si="40"/>
        <v>#DIV/0!</v>
      </c>
    </row>
    <row r="217" spans="1:28" outlineLevel="1">
      <c r="A217" s="1" t="s">
        <v>343</v>
      </c>
      <c r="B217" s="1" t="s">
        <v>344</v>
      </c>
      <c r="D217" s="88">
        <v>0</v>
      </c>
      <c r="E217" s="88">
        <v>0</v>
      </c>
      <c r="F217" s="88">
        <v>1</v>
      </c>
      <c r="G217" s="1">
        <f t="shared" si="38"/>
        <v>1</v>
      </c>
      <c r="I217" s="6">
        <f t="shared" si="39"/>
        <v>0.33333333333333331</v>
      </c>
      <c r="J217" s="7">
        <f>IFR!AD217</f>
        <v>5.0000000000000001E-3</v>
      </c>
      <c r="K217" s="8">
        <f t="shared" si="33"/>
        <v>0.95</v>
      </c>
      <c r="L217" s="6">
        <f t="shared" si="35"/>
        <v>0.31666666666666665</v>
      </c>
      <c r="M217" s="8">
        <v>1</v>
      </c>
      <c r="N217" s="8">
        <v>1</v>
      </c>
      <c r="P217" s="6">
        <f t="shared" si="36"/>
        <v>0.31666666666666665</v>
      </c>
      <c r="R217" s="9">
        <f t="shared" si="34"/>
        <v>5.7253748613856657E-5</v>
      </c>
      <c r="T217" s="10">
        <f>+R217*([1]assessment!$J$272*[1]assessment!$E$3)</f>
        <v>515.51898172701442</v>
      </c>
      <c r="V217" s="7">
        <f>+T217/[1]payroll!$F217</f>
        <v>1.8821535832094668E-4</v>
      </c>
      <c r="X217" s="10">
        <f>IF(V217&lt;$X$2,T217,[1]payroll!$F217*$X$2)</f>
        <v>515.51898172701442</v>
      </c>
      <c r="Z217" s="10">
        <f t="shared" si="37"/>
        <v>0</v>
      </c>
      <c r="AB217" s="1">
        <f t="shared" si="40"/>
        <v>1</v>
      </c>
    </row>
    <row r="218" spans="1:28" outlineLevel="1">
      <c r="A218" s="1" t="s">
        <v>345</v>
      </c>
      <c r="B218" s="1" t="s">
        <v>346</v>
      </c>
      <c r="D218" s="88">
        <v>0</v>
      </c>
      <c r="E218" s="88">
        <v>0</v>
      </c>
      <c r="F218" s="88">
        <v>0</v>
      </c>
      <c r="G218" s="1">
        <f t="shared" si="38"/>
        <v>0</v>
      </c>
      <c r="I218" s="6">
        <f t="shared" si="39"/>
        <v>0</v>
      </c>
      <c r="J218" s="7">
        <f>IFR!AD218</f>
        <v>0</v>
      </c>
      <c r="K218" s="8">
        <f t="shared" si="33"/>
        <v>0.95</v>
      </c>
      <c r="L218" s="6">
        <f t="shared" si="35"/>
        <v>0</v>
      </c>
      <c r="M218" s="8">
        <v>1</v>
      </c>
      <c r="N218" s="8">
        <v>1</v>
      </c>
      <c r="P218" s="6">
        <f t="shared" si="36"/>
        <v>0</v>
      </c>
      <c r="R218" s="9">
        <f t="shared" si="34"/>
        <v>0</v>
      </c>
      <c r="T218" s="10">
        <f>+R218*([1]assessment!$J$272*[1]assessment!$E$3)</f>
        <v>0</v>
      </c>
      <c r="V218" s="7">
        <f>+T218/[1]payroll!$F218</f>
        <v>0</v>
      </c>
      <c r="X218" s="10">
        <f>IF(V218&lt;$X$2,T218,[1]payroll!$F218*$X$2)</f>
        <v>0</v>
      </c>
      <c r="Z218" s="10">
        <f t="shared" si="37"/>
        <v>0</v>
      </c>
      <c r="AB218" s="1" t="e">
        <f t="shared" si="40"/>
        <v>#DIV/0!</v>
      </c>
    </row>
    <row r="219" spans="1:28" outlineLevel="1">
      <c r="A219" s="1" t="s">
        <v>347</v>
      </c>
      <c r="B219" s="1" t="s">
        <v>348</v>
      </c>
      <c r="D219" s="88">
        <v>0</v>
      </c>
      <c r="E219" s="88">
        <v>0</v>
      </c>
      <c r="F219" s="88">
        <v>0</v>
      </c>
      <c r="G219" s="1">
        <f t="shared" si="38"/>
        <v>0</v>
      </c>
      <c r="I219" s="6">
        <f t="shared" si="39"/>
        <v>0</v>
      </c>
      <c r="J219" s="7">
        <f>IFR!AD219</f>
        <v>0</v>
      </c>
      <c r="K219" s="8">
        <f t="shared" si="33"/>
        <v>0.95</v>
      </c>
      <c r="L219" s="6">
        <f t="shared" si="35"/>
        <v>0</v>
      </c>
      <c r="M219" s="8">
        <v>1</v>
      </c>
      <c r="N219" s="8">
        <v>1</v>
      </c>
      <c r="P219" s="6">
        <f t="shared" si="36"/>
        <v>0</v>
      </c>
      <c r="R219" s="9">
        <f t="shared" si="34"/>
        <v>0</v>
      </c>
      <c r="T219" s="10">
        <f>+R219*([1]assessment!$J$272*[1]assessment!$E$3)</f>
        <v>0</v>
      </c>
      <c r="V219" s="7">
        <f>+T219/[1]payroll!$F219</f>
        <v>0</v>
      </c>
      <c r="X219" s="10">
        <f>IF(V219&lt;$X$2,T219,[1]payroll!$F219*$X$2)</f>
        <v>0</v>
      </c>
      <c r="Z219" s="10">
        <f t="shared" si="37"/>
        <v>0</v>
      </c>
      <c r="AB219" s="1" t="e">
        <f t="shared" si="40"/>
        <v>#DIV/0!</v>
      </c>
    </row>
    <row r="220" spans="1:28" outlineLevel="1">
      <c r="A220" s="1" t="s">
        <v>349</v>
      </c>
      <c r="B220" s="1" t="s">
        <v>350</v>
      </c>
      <c r="D220" s="88">
        <v>0</v>
      </c>
      <c r="E220" s="88">
        <v>0</v>
      </c>
      <c r="F220" s="88">
        <v>1</v>
      </c>
      <c r="G220" s="1">
        <f t="shared" si="38"/>
        <v>1</v>
      </c>
      <c r="I220" s="6">
        <f t="shared" si="39"/>
        <v>0.33333333333333331</v>
      </c>
      <c r="J220" s="7">
        <f>IFR!AD220</f>
        <v>5.0000000000000001E-3</v>
      </c>
      <c r="K220" s="8">
        <f t="shared" si="33"/>
        <v>0.95</v>
      </c>
      <c r="L220" s="6">
        <f t="shared" si="35"/>
        <v>0.31666666666666665</v>
      </c>
      <c r="M220" s="8">
        <v>1</v>
      </c>
      <c r="N220" s="8">
        <v>1</v>
      </c>
      <c r="P220" s="6">
        <f t="shared" si="36"/>
        <v>0.31666666666666665</v>
      </c>
      <c r="R220" s="9">
        <f t="shared" si="34"/>
        <v>5.7253748613856657E-5</v>
      </c>
      <c r="T220" s="10">
        <f>+R220*([1]assessment!$J$272*[1]assessment!$E$3)</f>
        <v>515.51898172701442</v>
      </c>
      <c r="V220" s="7">
        <f>+T220/[1]payroll!$F220</f>
        <v>1.7385791129161273E-4</v>
      </c>
      <c r="X220" s="10">
        <f>IF(V220&lt;$X$2,T220,[1]payroll!$F220*$X$2)</f>
        <v>515.51898172701442</v>
      </c>
      <c r="Z220" s="10">
        <f t="shared" si="37"/>
        <v>0</v>
      </c>
      <c r="AB220" s="1">
        <f t="shared" si="40"/>
        <v>1</v>
      </c>
    </row>
    <row r="221" spans="1:28" outlineLevel="1">
      <c r="A221" s="1" t="s">
        <v>351</v>
      </c>
      <c r="B221" s="1" t="s">
        <v>352</v>
      </c>
      <c r="D221" s="88">
        <v>0</v>
      </c>
      <c r="E221" s="88">
        <v>0</v>
      </c>
      <c r="F221" s="88">
        <v>0</v>
      </c>
      <c r="G221" s="1">
        <f t="shared" si="38"/>
        <v>0</v>
      </c>
      <c r="I221" s="6">
        <f t="shared" si="39"/>
        <v>0</v>
      </c>
      <c r="J221" s="7">
        <f>IFR!AD221</f>
        <v>0</v>
      </c>
      <c r="K221" s="8">
        <f t="shared" si="33"/>
        <v>0.95</v>
      </c>
      <c r="L221" s="6">
        <f t="shared" si="35"/>
        <v>0</v>
      </c>
      <c r="M221" s="8">
        <v>1</v>
      </c>
      <c r="N221" s="8">
        <v>1</v>
      </c>
      <c r="P221" s="6">
        <f t="shared" si="36"/>
        <v>0</v>
      </c>
      <c r="R221" s="9">
        <f t="shared" si="34"/>
        <v>0</v>
      </c>
      <c r="T221" s="10">
        <f>+R221*([1]assessment!$J$272*[1]assessment!$E$3)</f>
        <v>0</v>
      </c>
      <c r="V221" s="7">
        <f>+T221/[1]payroll!$F221</f>
        <v>0</v>
      </c>
      <c r="X221" s="10">
        <f>IF(V221&lt;$X$2,T221,[1]payroll!$F221*$X$2)</f>
        <v>0</v>
      </c>
      <c r="Z221" s="10">
        <f t="shared" si="37"/>
        <v>0</v>
      </c>
      <c r="AB221" s="1" t="e">
        <f t="shared" si="40"/>
        <v>#DIV/0!</v>
      </c>
    </row>
    <row r="222" spans="1:28" outlineLevel="1">
      <c r="A222" s="1" t="s">
        <v>353</v>
      </c>
      <c r="B222" s="1" t="s">
        <v>354</v>
      </c>
      <c r="D222" s="88">
        <v>0</v>
      </c>
      <c r="E222" s="88">
        <v>0</v>
      </c>
      <c r="F222" s="88">
        <v>0</v>
      </c>
      <c r="G222" s="1">
        <f t="shared" si="38"/>
        <v>0</v>
      </c>
      <c r="I222" s="6">
        <f t="shared" si="39"/>
        <v>0</v>
      </c>
      <c r="J222" s="7">
        <f>IFR!AD222</f>
        <v>0</v>
      </c>
      <c r="K222" s="8">
        <f t="shared" si="33"/>
        <v>0.95</v>
      </c>
      <c r="L222" s="6">
        <f t="shared" si="35"/>
        <v>0</v>
      </c>
      <c r="M222" s="8">
        <v>1</v>
      </c>
      <c r="N222" s="8">
        <v>1</v>
      </c>
      <c r="P222" s="6">
        <f t="shared" si="36"/>
        <v>0</v>
      </c>
      <c r="R222" s="9">
        <f t="shared" si="34"/>
        <v>0</v>
      </c>
      <c r="T222" s="10">
        <f>+R222*([1]assessment!$J$272*[1]assessment!$E$3)</f>
        <v>0</v>
      </c>
      <c r="V222" s="7">
        <f>+T222/[1]payroll!$F222</f>
        <v>0</v>
      </c>
      <c r="X222" s="10">
        <f>IF(V222&lt;$X$2,T222,[1]payroll!$F222*$X$2)</f>
        <v>0</v>
      </c>
      <c r="Z222" s="10">
        <f t="shared" si="37"/>
        <v>0</v>
      </c>
      <c r="AB222" s="1" t="e">
        <f t="shared" si="40"/>
        <v>#DIV/0!</v>
      </c>
    </row>
    <row r="223" spans="1:28" outlineLevel="1">
      <c r="A223" s="1" t="s">
        <v>355</v>
      </c>
      <c r="B223" s="1" t="s">
        <v>356</v>
      </c>
      <c r="D223" s="88">
        <v>0</v>
      </c>
      <c r="E223" s="88">
        <v>1</v>
      </c>
      <c r="F223" s="88">
        <v>0</v>
      </c>
      <c r="G223" s="1">
        <f t="shared" si="38"/>
        <v>1</v>
      </c>
      <c r="I223" s="6">
        <f t="shared" si="39"/>
        <v>0.33333333333333331</v>
      </c>
      <c r="J223" s="7">
        <f>IFR!AD223</f>
        <v>3.3333333333333335E-3</v>
      </c>
      <c r="K223" s="8">
        <f t="shared" si="33"/>
        <v>0.95</v>
      </c>
      <c r="L223" s="6">
        <f t="shared" si="35"/>
        <v>0.31666666666666665</v>
      </c>
      <c r="M223" s="8">
        <v>1</v>
      </c>
      <c r="N223" s="8">
        <v>1</v>
      </c>
      <c r="P223" s="6">
        <f t="shared" si="36"/>
        <v>0.31666666666666665</v>
      </c>
      <c r="R223" s="9">
        <f t="shared" si="34"/>
        <v>5.7253748613856657E-5</v>
      </c>
      <c r="T223" s="10">
        <f>+R223*([1]assessment!$J$272*[1]assessment!$E$3)</f>
        <v>515.51898172701442</v>
      </c>
      <c r="V223" s="7">
        <f>+T223/[1]payroll!$F223</f>
        <v>5.8152227234722833E-4</v>
      </c>
      <c r="X223" s="10">
        <f>IF(V223&lt;$X$2,T223,[1]payroll!$F223*$X$2)</f>
        <v>515.51898172701442</v>
      </c>
      <c r="Z223" s="10">
        <f t="shared" si="37"/>
        <v>0</v>
      </c>
      <c r="AB223" s="1">
        <f t="shared" si="40"/>
        <v>1</v>
      </c>
    </row>
    <row r="224" spans="1:28" outlineLevel="1">
      <c r="A224" s="1" t="s">
        <v>357</v>
      </c>
      <c r="B224" s="1" t="s">
        <v>358</v>
      </c>
      <c r="D224" s="88">
        <v>0</v>
      </c>
      <c r="E224" s="88">
        <v>0</v>
      </c>
      <c r="F224" s="88">
        <v>0</v>
      </c>
      <c r="G224" s="1">
        <f t="shared" si="38"/>
        <v>0</v>
      </c>
      <c r="I224" s="6">
        <f t="shared" si="39"/>
        <v>0</v>
      </c>
      <c r="J224" s="7">
        <f>IFR!AD224</f>
        <v>0</v>
      </c>
      <c r="K224" s="8">
        <f t="shared" si="33"/>
        <v>0.95</v>
      </c>
      <c r="L224" s="6">
        <f t="shared" si="35"/>
        <v>0</v>
      </c>
      <c r="M224" s="8">
        <v>1</v>
      </c>
      <c r="N224" s="8">
        <v>1</v>
      </c>
      <c r="P224" s="6">
        <f t="shared" si="36"/>
        <v>0</v>
      </c>
      <c r="R224" s="9">
        <f t="shared" si="34"/>
        <v>0</v>
      </c>
      <c r="T224" s="10">
        <f>+R224*([1]assessment!$J$272*[1]assessment!$E$3)</f>
        <v>0</v>
      </c>
      <c r="V224" s="7">
        <f>+T224/[1]payroll!$F224</f>
        <v>0</v>
      </c>
      <c r="X224" s="10">
        <f>IF(V224&lt;$X$2,T224,[1]payroll!$F224*$X$2)</f>
        <v>0</v>
      </c>
      <c r="Z224" s="10">
        <f t="shared" si="37"/>
        <v>0</v>
      </c>
      <c r="AB224" s="1" t="e">
        <f t="shared" si="40"/>
        <v>#DIV/0!</v>
      </c>
    </row>
    <row r="225" spans="1:28" outlineLevel="1">
      <c r="A225" s="1" t="s">
        <v>359</v>
      </c>
      <c r="B225" s="1" t="s">
        <v>360</v>
      </c>
      <c r="D225" s="88">
        <v>0</v>
      </c>
      <c r="E225" s="88">
        <v>0</v>
      </c>
      <c r="F225" s="88">
        <v>0</v>
      </c>
      <c r="G225" s="1">
        <f t="shared" si="38"/>
        <v>0</v>
      </c>
      <c r="I225" s="6">
        <f t="shared" si="39"/>
        <v>0</v>
      </c>
      <c r="J225" s="7">
        <f>IFR!AD225</f>
        <v>0</v>
      </c>
      <c r="K225" s="8">
        <f t="shared" si="33"/>
        <v>0.95</v>
      </c>
      <c r="L225" s="6">
        <f t="shared" si="35"/>
        <v>0</v>
      </c>
      <c r="M225" s="8">
        <v>1</v>
      </c>
      <c r="N225" s="8">
        <v>1</v>
      </c>
      <c r="P225" s="6">
        <f t="shared" si="36"/>
        <v>0</v>
      </c>
      <c r="R225" s="9">
        <f t="shared" si="34"/>
        <v>0</v>
      </c>
      <c r="T225" s="10">
        <f>+R225*([1]assessment!$J$272*[1]assessment!$E$3)</f>
        <v>0</v>
      </c>
      <c r="V225" s="7">
        <f>+T225/[1]payroll!$F225</f>
        <v>0</v>
      </c>
      <c r="X225" s="10">
        <f>IF(V225&lt;$X$2,T225,[1]payroll!$F225*$X$2)</f>
        <v>0</v>
      </c>
      <c r="Z225" s="10">
        <f t="shared" si="37"/>
        <v>0</v>
      </c>
      <c r="AB225" s="1" t="e">
        <f t="shared" si="40"/>
        <v>#DIV/0!</v>
      </c>
    </row>
    <row r="226" spans="1:28" outlineLevel="1">
      <c r="A226" s="1" t="s">
        <v>361</v>
      </c>
      <c r="B226" s="1" t="s">
        <v>362</v>
      </c>
      <c r="D226" s="88">
        <v>2</v>
      </c>
      <c r="E226" s="88">
        <v>2</v>
      </c>
      <c r="F226" s="88">
        <v>0</v>
      </c>
      <c r="G226" s="1">
        <f t="shared" si="38"/>
        <v>4</v>
      </c>
      <c r="I226" s="6">
        <f t="shared" si="39"/>
        <v>1.3333333333333333</v>
      </c>
      <c r="J226" s="7">
        <f>IFR!AD226</f>
        <v>7.0486815415821509E-3</v>
      </c>
      <c r="K226" s="8">
        <f t="shared" si="33"/>
        <v>0.95</v>
      </c>
      <c r="L226" s="6">
        <f t="shared" si="35"/>
        <v>1.2666666666666666</v>
      </c>
      <c r="M226" s="8">
        <v>1</v>
      </c>
      <c r="N226" s="8">
        <v>1</v>
      </c>
      <c r="P226" s="6">
        <f t="shared" si="36"/>
        <v>1.2666666666666666</v>
      </c>
      <c r="R226" s="9">
        <f t="shared" si="34"/>
        <v>2.2901499445542663E-4</v>
      </c>
      <c r="T226" s="10">
        <f>+R226*([1]assessment!$J$272*[1]assessment!$E$3)</f>
        <v>2062.0759269080577</v>
      </c>
      <c r="V226" s="7">
        <f>+T226/[1]payroll!$F226</f>
        <v>3.3890086238978518E-4</v>
      </c>
      <c r="X226" s="10">
        <f>IF(V226&lt;$X$2,T226,[1]payroll!$F226*$X$2)</f>
        <v>2062.0759269080577</v>
      </c>
      <c r="Z226" s="10">
        <f t="shared" si="37"/>
        <v>0</v>
      </c>
      <c r="AB226" s="1">
        <f t="shared" si="40"/>
        <v>1</v>
      </c>
    </row>
    <row r="227" spans="1:28" outlineLevel="1">
      <c r="A227" s="1" t="s">
        <v>363</v>
      </c>
      <c r="B227" s="1" t="s">
        <v>364</v>
      </c>
      <c r="D227" s="88">
        <v>1</v>
      </c>
      <c r="E227" s="88">
        <v>1</v>
      </c>
      <c r="F227" s="88">
        <v>0</v>
      </c>
      <c r="G227" s="1">
        <f t="shared" si="38"/>
        <v>2</v>
      </c>
      <c r="I227" s="6">
        <f t="shared" si="39"/>
        <v>0.66666666666666663</v>
      </c>
      <c r="J227" s="7">
        <f>IFR!AD227</f>
        <v>5.0000000000000001E-3</v>
      </c>
      <c r="K227" s="8">
        <f t="shared" si="33"/>
        <v>0.95</v>
      </c>
      <c r="L227" s="6">
        <f t="shared" si="35"/>
        <v>0.6333333333333333</v>
      </c>
      <c r="M227" s="8">
        <v>1</v>
      </c>
      <c r="N227" s="8">
        <v>1</v>
      </c>
      <c r="P227" s="6">
        <f t="shared" si="36"/>
        <v>0.6333333333333333</v>
      </c>
      <c r="R227" s="9">
        <f t="shared" si="34"/>
        <v>1.1450749722771331E-4</v>
      </c>
      <c r="T227" s="10">
        <f>+R227*([1]assessment!$J$272*[1]assessment!$E$3)</f>
        <v>1031.0379634540288</v>
      </c>
      <c r="V227" s="7">
        <f>+T227/[1]payroll!$F227</f>
        <v>1.1288139976037166E-3</v>
      </c>
      <c r="X227" s="10">
        <f>IF(V227&lt;$X$2,T227,[1]payroll!$F227*$X$2)</f>
        <v>1031.0379634540288</v>
      </c>
      <c r="Z227" s="10">
        <f t="shared" si="37"/>
        <v>0</v>
      </c>
      <c r="AB227" s="1">
        <f t="shared" si="40"/>
        <v>1</v>
      </c>
    </row>
    <row r="228" spans="1:28" outlineLevel="1">
      <c r="A228" s="1" t="s">
        <v>365</v>
      </c>
      <c r="B228" s="1" t="s">
        <v>366</v>
      </c>
      <c r="D228" s="88">
        <v>0</v>
      </c>
      <c r="E228" s="88">
        <v>0</v>
      </c>
      <c r="F228" s="88">
        <v>0</v>
      </c>
      <c r="G228" s="1">
        <f t="shared" si="38"/>
        <v>0</v>
      </c>
      <c r="I228" s="6">
        <f t="shared" si="39"/>
        <v>0</v>
      </c>
      <c r="J228" s="7">
        <f>IFR!AD228</f>
        <v>0</v>
      </c>
      <c r="K228" s="8">
        <f t="shared" si="33"/>
        <v>0.95</v>
      </c>
      <c r="L228" s="6">
        <f t="shared" si="35"/>
        <v>0</v>
      </c>
      <c r="M228" s="8">
        <v>1</v>
      </c>
      <c r="N228" s="8">
        <v>1</v>
      </c>
      <c r="P228" s="6">
        <f t="shared" si="36"/>
        <v>0</v>
      </c>
      <c r="R228" s="9">
        <f t="shared" si="34"/>
        <v>0</v>
      </c>
      <c r="T228" s="10">
        <f>+R228*([1]assessment!$J$272*[1]assessment!$E$3)</f>
        <v>0</v>
      </c>
      <c r="V228" s="7">
        <f>+T228/[1]payroll!$F228</f>
        <v>0</v>
      </c>
      <c r="X228" s="10">
        <f>IF(V228&lt;$X$2,T228,[1]payroll!$F228*$X$2)</f>
        <v>0</v>
      </c>
      <c r="Z228" s="10">
        <f t="shared" si="37"/>
        <v>0</v>
      </c>
      <c r="AB228" s="1" t="e">
        <f t="shared" si="40"/>
        <v>#DIV/0!</v>
      </c>
    </row>
    <row r="229" spans="1:28" outlineLevel="1">
      <c r="A229" s="1" t="s">
        <v>367</v>
      </c>
      <c r="B229" s="1" t="s">
        <v>368</v>
      </c>
      <c r="D229" s="88">
        <v>0</v>
      </c>
      <c r="E229" s="88">
        <v>0</v>
      </c>
      <c r="F229" s="88">
        <v>0</v>
      </c>
      <c r="G229" s="1">
        <f t="shared" si="38"/>
        <v>0</v>
      </c>
      <c r="I229" s="6">
        <f t="shared" si="39"/>
        <v>0</v>
      </c>
      <c r="J229" s="7">
        <f>IFR!AD229</f>
        <v>0</v>
      </c>
      <c r="K229" s="8">
        <f t="shared" si="33"/>
        <v>0.95</v>
      </c>
      <c r="L229" s="6">
        <f t="shared" si="35"/>
        <v>0</v>
      </c>
      <c r="M229" s="8">
        <v>1</v>
      </c>
      <c r="N229" s="8">
        <v>1</v>
      </c>
      <c r="P229" s="6">
        <f t="shared" si="36"/>
        <v>0</v>
      </c>
      <c r="R229" s="9">
        <f t="shared" si="34"/>
        <v>0</v>
      </c>
      <c r="T229" s="10">
        <f>+R229*([1]assessment!$J$272*[1]assessment!$E$3)</f>
        <v>0</v>
      </c>
      <c r="V229" s="7">
        <f>+T229/[1]payroll!$F229</f>
        <v>0</v>
      </c>
      <c r="X229" s="10">
        <f>IF(V229&lt;$X$2,T229,[1]payroll!$F229*$X$2)</f>
        <v>0</v>
      </c>
      <c r="Z229" s="10">
        <f t="shared" si="37"/>
        <v>0</v>
      </c>
      <c r="AB229" s="1" t="e">
        <f t="shared" si="40"/>
        <v>#DIV/0!</v>
      </c>
    </row>
    <row r="230" spans="1:28" outlineLevel="1">
      <c r="A230" s="1" t="s">
        <v>369</v>
      </c>
      <c r="B230" s="1" t="s">
        <v>370</v>
      </c>
      <c r="D230" s="88">
        <v>0</v>
      </c>
      <c r="E230" s="88">
        <v>0</v>
      </c>
      <c r="F230" s="88">
        <v>0</v>
      </c>
      <c r="G230" s="1">
        <f t="shared" si="38"/>
        <v>0</v>
      </c>
      <c r="I230" s="6">
        <f t="shared" si="39"/>
        <v>0</v>
      </c>
      <c r="J230" s="7">
        <f>IFR!AD230</f>
        <v>0</v>
      </c>
      <c r="K230" s="8">
        <f t="shared" si="33"/>
        <v>0.95</v>
      </c>
      <c r="L230" s="6">
        <f t="shared" si="35"/>
        <v>0</v>
      </c>
      <c r="M230" s="8">
        <v>1</v>
      </c>
      <c r="N230" s="8">
        <v>1</v>
      </c>
      <c r="P230" s="6">
        <f t="shared" si="36"/>
        <v>0</v>
      </c>
      <c r="R230" s="9">
        <f t="shared" si="34"/>
        <v>0</v>
      </c>
      <c r="T230" s="10">
        <f>+R230*([1]assessment!$J$272*[1]assessment!$E$3)</f>
        <v>0</v>
      </c>
      <c r="V230" s="7">
        <f>+T230/[1]payroll!$F230</f>
        <v>0</v>
      </c>
      <c r="X230" s="10">
        <f>IF(V230&lt;$X$2,T230,[1]payroll!$F230*$X$2)</f>
        <v>0</v>
      </c>
      <c r="Z230" s="10">
        <f t="shared" si="37"/>
        <v>0</v>
      </c>
      <c r="AB230" s="1" t="e">
        <f t="shared" si="40"/>
        <v>#DIV/0!</v>
      </c>
    </row>
    <row r="231" spans="1:28" outlineLevel="1">
      <c r="A231" s="1" t="s">
        <v>371</v>
      </c>
      <c r="B231" s="1" t="s">
        <v>372</v>
      </c>
      <c r="D231" s="88">
        <v>0</v>
      </c>
      <c r="E231" s="88">
        <v>0</v>
      </c>
      <c r="F231" s="88">
        <v>0</v>
      </c>
      <c r="G231" s="1">
        <f t="shared" si="38"/>
        <v>0</v>
      </c>
      <c r="I231" s="6">
        <f t="shared" si="39"/>
        <v>0</v>
      </c>
      <c r="J231" s="7">
        <f>IFR!AD231</f>
        <v>0</v>
      </c>
      <c r="K231" s="8">
        <f t="shared" si="33"/>
        <v>0.95</v>
      </c>
      <c r="L231" s="6">
        <f t="shared" si="35"/>
        <v>0</v>
      </c>
      <c r="M231" s="8">
        <v>1</v>
      </c>
      <c r="N231" s="8">
        <v>1</v>
      </c>
      <c r="P231" s="6">
        <f t="shared" si="36"/>
        <v>0</v>
      </c>
      <c r="R231" s="9">
        <f t="shared" si="34"/>
        <v>0</v>
      </c>
      <c r="T231" s="10">
        <f>+R231*([1]assessment!$J$272*[1]assessment!$E$3)</f>
        <v>0</v>
      </c>
      <c r="V231" s="7">
        <f>+T231/[1]payroll!$F231</f>
        <v>0</v>
      </c>
      <c r="X231" s="10">
        <f>IF(V231&lt;$X$2,T231,[1]payroll!$F231*$X$2)</f>
        <v>0</v>
      </c>
      <c r="Z231" s="10">
        <f t="shared" si="37"/>
        <v>0</v>
      </c>
      <c r="AB231" s="1" t="e">
        <f t="shared" si="40"/>
        <v>#DIV/0!</v>
      </c>
    </row>
    <row r="232" spans="1:28" outlineLevel="1">
      <c r="A232" s="1" t="s">
        <v>373</v>
      </c>
      <c r="B232" s="1" t="s">
        <v>374</v>
      </c>
      <c r="D232" s="88">
        <v>0</v>
      </c>
      <c r="E232" s="88">
        <v>2</v>
      </c>
      <c r="F232" s="88">
        <v>0</v>
      </c>
      <c r="G232" s="1">
        <f t="shared" si="38"/>
        <v>2</v>
      </c>
      <c r="I232" s="6">
        <f t="shared" si="39"/>
        <v>0.66666666666666663</v>
      </c>
      <c r="J232" s="7">
        <f>IFR!AD232</f>
        <v>6.6666666666666671E-3</v>
      </c>
      <c r="K232" s="8">
        <f t="shared" si="33"/>
        <v>0.95</v>
      </c>
      <c r="L232" s="6">
        <f t="shared" si="35"/>
        <v>0.6333333333333333</v>
      </c>
      <c r="M232" s="8">
        <v>1</v>
      </c>
      <c r="N232" s="8">
        <v>1</v>
      </c>
      <c r="P232" s="6">
        <f t="shared" si="36"/>
        <v>0.6333333333333333</v>
      </c>
      <c r="R232" s="9">
        <f t="shared" si="34"/>
        <v>1.1450749722771331E-4</v>
      </c>
      <c r="T232" s="10">
        <f>+R232*([1]assessment!$J$272*[1]assessment!$E$3)</f>
        <v>1031.0379634540288</v>
      </c>
      <c r="V232" s="7">
        <f>+T232/[1]payroll!$F232</f>
        <v>1.0362526926982307E-3</v>
      </c>
      <c r="X232" s="10">
        <f>IF(V232&lt;$X$2,T232,[1]payroll!$F232*$X$2)</f>
        <v>1031.0379634540288</v>
      </c>
      <c r="Z232" s="10">
        <f t="shared" si="37"/>
        <v>0</v>
      </c>
      <c r="AB232" s="1">
        <f t="shared" si="40"/>
        <v>1</v>
      </c>
    </row>
    <row r="233" spans="1:28" outlineLevel="1">
      <c r="A233" s="1" t="s">
        <v>375</v>
      </c>
      <c r="B233" s="1" t="s">
        <v>376</v>
      </c>
      <c r="D233" s="88">
        <v>0</v>
      </c>
      <c r="E233" s="88">
        <v>1</v>
      </c>
      <c r="F233" s="88">
        <v>1</v>
      </c>
      <c r="G233" s="1">
        <f t="shared" si="38"/>
        <v>2</v>
      </c>
      <c r="I233" s="6">
        <f t="shared" si="39"/>
        <v>0.66666666666666663</v>
      </c>
      <c r="J233" s="7">
        <f>IFR!AD233</f>
        <v>8.3333333333333332E-3</v>
      </c>
      <c r="K233" s="8">
        <f t="shared" si="33"/>
        <v>0.95</v>
      </c>
      <c r="L233" s="6">
        <f t="shared" si="35"/>
        <v>0.6333333333333333</v>
      </c>
      <c r="M233" s="8">
        <v>1</v>
      </c>
      <c r="N233" s="8">
        <v>1</v>
      </c>
      <c r="P233" s="6">
        <f t="shared" si="36"/>
        <v>0.6333333333333333</v>
      </c>
      <c r="R233" s="9">
        <f t="shared" si="34"/>
        <v>1.1450749722771331E-4</v>
      </c>
      <c r="T233" s="10">
        <f>+R233*([1]assessment!$J$272*[1]assessment!$E$3)</f>
        <v>1031.0379634540288</v>
      </c>
      <c r="V233" s="7">
        <f>+T233/[1]payroll!$F233</f>
        <v>3.331836785842994E-4</v>
      </c>
      <c r="X233" s="10">
        <f>IF(V233&lt;$X$2,T233,[1]payroll!$F233*$X$2)</f>
        <v>1031.0379634540288</v>
      </c>
      <c r="Z233" s="10">
        <f t="shared" si="37"/>
        <v>0</v>
      </c>
      <c r="AB233" s="1">
        <f t="shared" si="40"/>
        <v>1</v>
      </c>
    </row>
    <row r="234" spans="1:28" outlineLevel="1">
      <c r="A234" s="11" t="s">
        <v>547</v>
      </c>
      <c r="B234" s="11" t="s">
        <v>548</v>
      </c>
      <c r="D234" s="88">
        <v>0</v>
      </c>
      <c r="E234" s="88">
        <v>0</v>
      </c>
      <c r="F234" s="88">
        <v>0</v>
      </c>
      <c r="G234" s="1">
        <f t="shared" si="38"/>
        <v>0</v>
      </c>
      <c r="I234" s="6">
        <f t="shared" si="39"/>
        <v>0</v>
      </c>
      <c r="J234" s="7">
        <f>IFR!AD234</f>
        <v>0</v>
      </c>
      <c r="K234" s="8">
        <f t="shared" si="33"/>
        <v>0.95</v>
      </c>
      <c r="L234" s="6">
        <f t="shared" si="35"/>
        <v>0</v>
      </c>
      <c r="M234" s="8">
        <v>1</v>
      </c>
      <c r="N234" s="8"/>
      <c r="P234" s="6">
        <f t="shared" si="36"/>
        <v>0</v>
      </c>
      <c r="R234" s="9">
        <f t="shared" si="34"/>
        <v>0</v>
      </c>
      <c r="T234" s="10">
        <f>+R234*([1]assessment!$J$272*[1]assessment!$E$3)</f>
        <v>0</v>
      </c>
      <c r="V234" s="7">
        <f>+T234/[1]payroll!$F234</f>
        <v>0</v>
      </c>
      <c r="X234" s="10">
        <f>IF(V234&lt;$X$2,T234,[1]payroll!$F234*$X$2)</f>
        <v>0</v>
      </c>
      <c r="Z234" s="10">
        <f t="shared" si="37"/>
        <v>0</v>
      </c>
      <c r="AB234" s="1" t="e">
        <f t="shared" si="40"/>
        <v>#DIV/0!</v>
      </c>
    </row>
    <row r="235" spans="1:28" outlineLevel="1">
      <c r="A235" s="1" t="s">
        <v>377</v>
      </c>
      <c r="B235" s="1" t="s">
        <v>378</v>
      </c>
      <c r="D235" s="88">
        <v>0</v>
      </c>
      <c r="E235" s="88">
        <v>0</v>
      </c>
      <c r="F235" s="88">
        <v>0</v>
      </c>
      <c r="G235" s="1">
        <f t="shared" si="38"/>
        <v>0</v>
      </c>
      <c r="I235" s="6">
        <f t="shared" si="39"/>
        <v>0</v>
      </c>
      <c r="J235" s="7">
        <f>IFR!AD235</f>
        <v>0</v>
      </c>
      <c r="K235" s="8">
        <f t="shared" si="33"/>
        <v>0.95</v>
      </c>
      <c r="L235" s="6">
        <f t="shared" si="35"/>
        <v>0</v>
      </c>
      <c r="M235" s="8">
        <v>1</v>
      </c>
      <c r="N235" s="8">
        <v>1</v>
      </c>
      <c r="P235" s="6">
        <f t="shared" si="36"/>
        <v>0</v>
      </c>
      <c r="R235" s="9">
        <f t="shared" si="34"/>
        <v>0</v>
      </c>
      <c r="T235" s="10">
        <f>+R235*([1]assessment!$J$272*[1]assessment!$E$3)</f>
        <v>0</v>
      </c>
      <c r="V235" s="7">
        <f>+T235/[1]payroll!$F235</f>
        <v>0</v>
      </c>
      <c r="X235" s="10">
        <f>IF(V235&lt;$X$2,T235,[1]payroll!$F235*$X$2)</f>
        <v>0</v>
      </c>
      <c r="Z235" s="10">
        <f t="shared" si="37"/>
        <v>0</v>
      </c>
      <c r="AB235" s="1" t="e">
        <f t="shared" si="40"/>
        <v>#DIV/0!</v>
      </c>
    </row>
    <row r="236" spans="1:28" outlineLevel="1">
      <c r="A236" s="1" t="s">
        <v>379</v>
      </c>
      <c r="B236" s="1" t="s">
        <v>380</v>
      </c>
      <c r="D236" s="88">
        <v>0</v>
      </c>
      <c r="E236" s="88">
        <v>0</v>
      </c>
      <c r="F236" s="88">
        <v>0</v>
      </c>
      <c r="G236" s="1">
        <f t="shared" ref="G236:G261" si="41">SUM(D236:F236)</f>
        <v>0</v>
      </c>
      <c r="I236" s="6">
        <f t="shared" ref="I236:I261" si="42">AVERAGE(D236:F236)</f>
        <v>0</v>
      </c>
      <c r="J236" s="7">
        <f>IFR!AD236</f>
        <v>0</v>
      </c>
      <c r="K236" s="8">
        <f t="shared" si="33"/>
        <v>0.95</v>
      </c>
      <c r="L236" s="6">
        <f t="shared" si="35"/>
        <v>0</v>
      </c>
      <c r="M236" s="8">
        <v>1</v>
      </c>
      <c r="N236" s="8">
        <v>1</v>
      </c>
      <c r="P236" s="6">
        <f t="shared" si="36"/>
        <v>0</v>
      </c>
      <c r="R236" s="9">
        <f t="shared" si="34"/>
        <v>0</v>
      </c>
      <c r="T236" s="10">
        <f>+R236*([1]assessment!$J$272*[1]assessment!$E$3)</f>
        <v>0</v>
      </c>
      <c r="V236" s="7">
        <f>+T236/[1]payroll!$F236</f>
        <v>0</v>
      </c>
      <c r="X236" s="10">
        <f>IF(V236&lt;$X$2,T236,[1]payroll!$F236*$X$2)</f>
        <v>0</v>
      </c>
      <c r="Z236" s="10">
        <f t="shared" si="37"/>
        <v>0</v>
      </c>
      <c r="AB236" s="1" t="e">
        <f t="shared" ref="AB236:AB262" si="43">+X236/T236</f>
        <v>#DIV/0!</v>
      </c>
    </row>
    <row r="237" spans="1:28" outlineLevel="1">
      <c r="A237" s="1" t="s">
        <v>381</v>
      </c>
      <c r="B237" s="1" t="s">
        <v>382</v>
      </c>
      <c r="D237" s="88">
        <v>0</v>
      </c>
      <c r="E237" s="88">
        <v>0</v>
      </c>
      <c r="F237" s="88">
        <v>0</v>
      </c>
      <c r="G237" s="1">
        <f t="shared" si="41"/>
        <v>0</v>
      </c>
      <c r="I237" s="6">
        <f t="shared" si="42"/>
        <v>0</v>
      </c>
      <c r="J237" s="7">
        <f>IFR!AD237</f>
        <v>0</v>
      </c>
      <c r="K237" s="8">
        <f t="shared" si="33"/>
        <v>0.95</v>
      </c>
      <c r="L237" s="6">
        <f t="shared" si="35"/>
        <v>0</v>
      </c>
      <c r="M237" s="8">
        <v>1</v>
      </c>
      <c r="N237" s="8">
        <v>1</v>
      </c>
      <c r="P237" s="6">
        <f t="shared" si="36"/>
        <v>0</v>
      </c>
      <c r="R237" s="9">
        <f t="shared" si="34"/>
        <v>0</v>
      </c>
      <c r="T237" s="10">
        <f>+R237*([1]assessment!$J$272*[1]assessment!$E$3)</f>
        <v>0</v>
      </c>
      <c r="V237" s="7">
        <f>+T237/[1]payroll!$F237</f>
        <v>0</v>
      </c>
      <c r="X237" s="10">
        <f>IF(V237&lt;$X$2,T237,[1]payroll!$F237*$X$2)</f>
        <v>0</v>
      </c>
      <c r="Z237" s="10">
        <f t="shared" si="37"/>
        <v>0</v>
      </c>
      <c r="AB237" s="1" t="e">
        <f t="shared" si="43"/>
        <v>#DIV/0!</v>
      </c>
    </row>
    <row r="238" spans="1:28" outlineLevel="1">
      <c r="A238" s="1" t="s">
        <v>383</v>
      </c>
      <c r="B238" s="1" t="s">
        <v>384</v>
      </c>
      <c r="D238" s="88">
        <v>2</v>
      </c>
      <c r="E238" s="88">
        <v>1</v>
      </c>
      <c r="F238" s="88">
        <v>1</v>
      </c>
      <c r="G238" s="1">
        <f t="shared" si="41"/>
        <v>4</v>
      </c>
      <c r="I238" s="6">
        <f t="shared" si="42"/>
        <v>1.3333333333333333</v>
      </c>
      <c r="J238" s="7">
        <f>IFR!AD238</f>
        <v>1.1666666666666667E-2</v>
      </c>
      <c r="K238" s="8">
        <f t="shared" si="33"/>
        <v>0.95</v>
      </c>
      <c r="L238" s="6">
        <f t="shared" si="35"/>
        <v>1.2666666666666666</v>
      </c>
      <c r="M238" s="8">
        <v>1</v>
      </c>
      <c r="N238" s="8">
        <v>1</v>
      </c>
      <c r="P238" s="6">
        <f t="shared" si="36"/>
        <v>1.2666666666666666</v>
      </c>
      <c r="R238" s="9">
        <f t="shared" si="34"/>
        <v>2.2901499445542663E-4</v>
      </c>
      <c r="T238" s="10">
        <f>+R238*([1]assessment!$J$272*[1]assessment!$E$3)</f>
        <v>2062.0759269080577</v>
      </c>
      <c r="V238" s="7">
        <f>+T238/[1]payroll!$F238</f>
        <v>6.4406622092773975E-4</v>
      </c>
      <c r="X238" s="10">
        <f>IF(V238&lt;$X$2,T238,[1]payroll!$F238*$X$2)</f>
        <v>2062.0759269080577</v>
      </c>
      <c r="Z238" s="10">
        <f t="shared" si="37"/>
        <v>0</v>
      </c>
      <c r="AB238" s="1">
        <f t="shared" si="43"/>
        <v>1</v>
      </c>
    </row>
    <row r="239" spans="1:28" outlineLevel="1">
      <c r="A239" s="1" t="s">
        <v>385</v>
      </c>
      <c r="B239" s="1" t="s">
        <v>386</v>
      </c>
      <c r="D239" s="88">
        <v>0</v>
      </c>
      <c r="E239" s="88">
        <v>0</v>
      </c>
      <c r="F239" s="88">
        <v>0</v>
      </c>
      <c r="G239" s="1">
        <f t="shared" si="41"/>
        <v>0</v>
      </c>
      <c r="I239" s="6">
        <f t="shared" si="42"/>
        <v>0</v>
      </c>
      <c r="J239" s="7">
        <f>IFR!AD239</f>
        <v>0</v>
      </c>
      <c r="K239" s="8">
        <f t="shared" si="33"/>
        <v>0.95</v>
      </c>
      <c r="L239" s="6">
        <f t="shared" si="35"/>
        <v>0</v>
      </c>
      <c r="M239" s="8">
        <v>1</v>
      </c>
      <c r="N239" s="8">
        <v>1</v>
      </c>
      <c r="P239" s="6">
        <f t="shared" si="36"/>
        <v>0</v>
      </c>
      <c r="R239" s="9">
        <f t="shared" si="34"/>
        <v>0</v>
      </c>
      <c r="T239" s="10">
        <f>+R239*([1]assessment!$J$272*[1]assessment!$E$3)</f>
        <v>0</v>
      </c>
      <c r="V239" s="7">
        <f>+T239/[1]payroll!$F239</f>
        <v>0</v>
      </c>
      <c r="X239" s="10">
        <f>IF(V239&lt;$X$2,T239,[1]payroll!$F239*$X$2)</f>
        <v>0</v>
      </c>
      <c r="Z239" s="10">
        <f t="shared" si="37"/>
        <v>0</v>
      </c>
      <c r="AB239" s="1" t="e">
        <f t="shared" si="43"/>
        <v>#DIV/0!</v>
      </c>
    </row>
    <row r="240" spans="1:28" outlineLevel="1">
      <c r="A240" s="1" t="s">
        <v>387</v>
      </c>
      <c r="B240" s="1" t="s">
        <v>388</v>
      </c>
      <c r="D240" s="88">
        <v>0</v>
      </c>
      <c r="E240" s="88">
        <v>0</v>
      </c>
      <c r="F240" s="88">
        <v>0</v>
      </c>
      <c r="G240" s="1">
        <f t="shared" si="41"/>
        <v>0</v>
      </c>
      <c r="I240" s="6">
        <f t="shared" si="42"/>
        <v>0</v>
      </c>
      <c r="J240" s="7">
        <f>IFR!AD240</f>
        <v>0</v>
      </c>
      <c r="K240" s="8">
        <f t="shared" si="33"/>
        <v>0.95</v>
      </c>
      <c r="L240" s="6">
        <f t="shared" si="35"/>
        <v>0</v>
      </c>
      <c r="M240" s="8">
        <v>1</v>
      </c>
      <c r="N240" s="8">
        <v>1</v>
      </c>
      <c r="P240" s="6">
        <f t="shared" si="36"/>
        <v>0</v>
      </c>
      <c r="R240" s="9">
        <f t="shared" si="34"/>
        <v>0</v>
      </c>
      <c r="T240" s="10">
        <f>+R240*([1]assessment!$J$272*[1]assessment!$E$3)</f>
        <v>0</v>
      </c>
      <c r="V240" s="7">
        <f>+T240/[1]payroll!$F240</f>
        <v>0</v>
      </c>
      <c r="X240" s="10">
        <f>IF(V240&lt;$X$2,T240,[1]payroll!$F240*$X$2)</f>
        <v>0</v>
      </c>
      <c r="Z240" s="10">
        <f t="shared" si="37"/>
        <v>0</v>
      </c>
      <c r="AB240" s="1" t="e">
        <f t="shared" si="43"/>
        <v>#DIV/0!</v>
      </c>
    </row>
    <row r="241" spans="1:28" outlineLevel="1">
      <c r="A241" s="1" t="s">
        <v>389</v>
      </c>
      <c r="B241" s="1" t="s">
        <v>390</v>
      </c>
      <c r="D241" s="88">
        <v>1</v>
      </c>
      <c r="E241" s="88">
        <v>1</v>
      </c>
      <c r="F241" s="88">
        <v>0</v>
      </c>
      <c r="G241" s="1">
        <f t="shared" si="41"/>
        <v>2</v>
      </c>
      <c r="I241" s="6">
        <f t="shared" si="42"/>
        <v>0.66666666666666663</v>
      </c>
      <c r="J241" s="7">
        <f>IFR!AD241</f>
        <v>5.0000000000000001E-3</v>
      </c>
      <c r="K241" s="8">
        <f t="shared" si="33"/>
        <v>0.95</v>
      </c>
      <c r="L241" s="6">
        <f t="shared" si="35"/>
        <v>0.6333333333333333</v>
      </c>
      <c r="M241" s="8">
        <v>1</v>
      </c>
      <c r="N241" s="8">
        <v>1</v>
      </c>
      <c r="P241" s="6">
        <f t="shared" si="36"/>
        <v>0.6333333333333333</v>
      </c>
      <c r="R241" s="9">
        <f t="shared" si="34"/>
        <v>1.1450749722771331E-4</v>
      </c>
      <c r="T241" s="10">
        <f>+R241*([1]assessment!$J$272*[1]assessment!$E$3)</f>
        <v>1031.0379634540288</v>
      </c>
      <c r="V241" s="7">
        <f>+T241/[1]payroll!$F241</f>
        <v>1.1557585456190814E-3</v>
      </c>
      <c r="X241" s="10">
        <f>IF(V241&lt;$X$2,T241,[1]payroll!$F241*$X$2)</f>
        <v>1031.0379634540288</v>
      </c>
      <c r="Z241" s="10">
        <f t="shared" si="37"/>
        <v>0</v>
      </c>
      <c r="AB241" s="1">
        <f t="shared" si="43"/>
        <v>1</v>
      </c>
    </row>
    <row r="242" spans="1:28" outlineLevel="1">
      <c r="A242" s="1" t="s">
        <v>391</v>
      </c>
      <c r="B242" s="1" t="s">
        <v>392</v>
      </c>
      <c r="D242" s="88">
        <v>4</v>
      </c>
      <c r="E242" s="88">
        <v>5</v>
      </c>
      <c r="F242" s="88">
        <v>1</v>
      </c>
      <c r="G242" s="1">
        <f t="shared" si="41"/>
        <v>10</v>
      </c>
      <c r="I242" s="6">
        <f t="shared" si="42"/>
        <v>3.3333333333333335</v>
      </c>
      <c r="J242" s="7">
        <f>IFR!AD242</f>
        <v>8.3746334075833605E-3</v>
      </c>
      <c r="K242" s="8">
        <f t="shared" si="33"/>
        <v>0.95</v>
      </c>
      <c r="L242" s="6">
        <f t="shared" si="35"/>
        <v>3.1666666666666665</v>
      </c>
      <c r="M242" s="8">
        <v>1</v>
      </c>
      <c r="N242" s="8">
        <v>1</v>
      </c>
      <c r="P242" s="6">
        <f t="shared" si="36"/>
        <v>3.1666666666666665</v>
      </c>
      <c r="R242" s="9">
        <f t="shared" si="34"/>
        <v>5.725374861385666E-4</v>
      </c>
      <c r="T242" s="10">
        <f>+R242*([1]assessment!$J$272*[1]assessment!$E$3)</f>
        <v>5155.1898172701449</v>
      </c>
      <c r="V242" s="7">
        <f>+T242/[1]payroll!$F242</f>
        <v>2.7750962027486175E-4</v>
      </c>
      <c r="X242" s="10">
        <f>IF(V242&lt;$X$2,T242,[1]payroll!$F242*$X$2)</f>
        <v>5155.1898172701449</v>
      </c>
      <c r="Z242" s="10">
        <f t="shared" si="37"/>
        <v>0</v>
      </c>
      <c r="AB242" s="1">
        <f t="shared" si="43"/>
        <v>1</v>
      </c>
    </row>
    <row r="243" spans="1:28" outlineLevel="1">
      <c r="A243" s="1" t="s">
        <v>393</v>
      </c>
      <c r="B243" s="1" t="s">
        <v>394</v>
      </c>
      <c r="D243" s="88">
        <v>0</v>
      </c>
      <c r="E243" s="88">
        <v>0</v>
      </c>
      <c r="F243" s="88">
        <v>4</v>
      </c>
      <c r="G243" s="1">
        <f t="shared" si="41"/>
        <v>4</v>
      </c>
      <c r="I243" s="6">
        <f t="shared" si="42"/>
        <v>1.3333333333333333</v>
      </c>
      <c r="J243" s="7">
        <f>IFR!AD243</f>
        <v>0.02</v>
      </c>
      <c r="K243" s="8">
        <f t="shared" si="33"/>
        <v>0.95</v>
      </c>
      <c r="L243" s="6">
        <f t="shared" si="35"/>
        <v>1.2666666666666666</v>
      </c>
      <c r="M243" s="8">
        <v>1</v>
      </c>
      <c r="N243" s="8">
        <v>1</v>
      </c>
      <c r="P243" s="6">
        <f t="shared" si="36"/>
        <v>1.2666666666666666</v>
      </c>
      <c r="R243" s="9">
        <f t="shared" si="34"/>
        <v>2.2901499445542663E-4</v>
      </c>
      <c r="T243" s="10">
        <f>+R243*([1]assessment!$J$272*[1]assessment!$E$3)</f>
        <v>2062.0759269080577</v>
      </c>
      <c r="V243" s="7">
        <f>+T243/[1]payroll!$F243</f>
        <v>4.6079641805072568E-4</v>
      </c>
      <c r="X243" s="10">
        <f>IF(V243&lt;$X$2,T243,[1]payroll!$F243*$X$2)</f>
        <v>2062.0759269080577</v>
      </c>
      <c r="Z243" s="10">
        <f t="shared" si="37"/>
        <v>0</v>
      </c>
      <c r="AB243" s="1">
        <f t="shared" si="43"/>
        <v>1</v>
      </c>
    </row>
    <row r="244" spans="1:28" outlineLevel="1">
      <c r="A244" s="1" t="s">
        <v>395</v>
      </c>
      <c r="B244" s="1" t="s">
        <v>396</v>
      </c>
      <c r="D244" s="88">
        <v>1</v>
      </c>
      <c r="E244" s="88">
        <v>1</v>
      </c>
      <c r="F244" s="88">
        <v>0</v>
      </c>
      <c r="G244" s="1">
        <f t="shared" si="41"/>
        <v>2</v>
      </c>
      <c r="I244" s="6">
        <f t="shared" si="42"/>
        <v>0.66666666666666663</v>
      </c>
      <c r="J244" s="7">
        <f>IFR!AD244</f>
        <v>5.0000000000000001E-3</v>
      </c>
      <c r="K244" s="8">
        <f t="shared" si="33"/>
        <v>0.95</v>
      </c>
      <c r="L244" s="6">
        <f t="shared" si="35"/>
        <v>0.6333333333333333</v>
      </c>
      <c r="M244" s="8">
        <v>1</v>
      </c>
      <c r="N244" s="8">
        <v>1</v>
      </c>
      <c r="P244" s="6">
        <f t="shared" si="36"/>
        <v>0.6333333333333333</v>
      </c>
      <c r="R244" s="9">
        <f t="shared" si="34"/>
        <v>1.1450749722771331E-4</v>
      </c>
      <c r="T244" s="10">
        <f>+R244*([1]assessment!$J$272*[1]assessment!$E$3)</f>
        <v>1031.0379634540288</v>
      </c>
      <c r="V244" s="7">
        <f>+T244/[1]payroll!$F244</f>
        <v>1.069770655707788E-3</v>
      </c>
      <c r="X244" s="10">
        <f>IF(V244&lt;$X$2,T244,[1]payroll!$F244*$X$2)</f>
        <v>1031.0379634540288</v>
      </c>
      <c r="Z244" s="10">
        <f t="shared" si="37"/>
        <v>0</v>
      </c>
      <c r="AB244" s="1">
        <f t="shared" si="43"/>
        <v>1</v>
      </c>
    </row>
    <row r="245" spans="1:28" outlineLevel="1">
      <c r="A245" s="1" t="s">
        <v>397</v>
      </c>
      <c r="B245" s="1" t="s">
        <v>398</v>
      </c>
      <c r="D245" s="88">
        <v>1</v>
      </c>
      <c r="E245" s="88">
        <v>4</v>
      </c>
      <c r="F245" s="88">
        <v>4</v>
      </c>
      <c r="G245" s="1">
        <f t="shared" si="41"/>
        <v>9</v>
      </c>
      <c r="I245" s="6">
        <f t="shared" si="42"/>
        <v>3</v>
      </c>
      <c r="J245" s="7">
        <f>IFR!AD245</f>
        <v>2.4226974062516771E-2</v>
      </c>
      <c r="K245" s="8">
        <f t="shared" si="33"/>
        <v>0.95</v>
      </c>
      <c r="L245" s="6">
        <f t="shared" si="35"/>
        <v>2.8499999999999996</v>
      </c>
      <c r="M245" s="8">
        <v>1</v>
      </c>
      <c r="N245" s="8">
        <v>1</v>
      </c>
      <c r="P245" s="6">
        <f t="shared" si="36"/>
        <v>2.8499999999999996</v>
      </c>
      <c r="R245" s="9">
        <f t="shared" si="34"/>
        <v>5.1528373752470988E-4</v>
      </c>
      <c r="T245" s="10">
        <f>+R245*([1]assessment!$J$272*[1]assessment!$E$3)</f>
        <v>4639.6708355431301</v>
      </c>
      <c r="V245" s="7">
        <f>+T245/[1]payroll!$F245</f>
        <v>7.8317967478277388E-4</v>
      </c>
      <c r="X245" s="10">
        <f>IF(V245&lt;$X$2,T245,[1]payroll!$F245*$X$2)</f>
        <v>4639.6708355431301</v>
      </c>
      <c r="Z245" s="10">
        <f t="shared" si="37"/>
        <v>0</v>
      </c>
      <c r="AB245" s="1">
        <f t="shared" si="43"/>
        <v>1</v>
      </c>
    </row>
    <row r="246" spans="1:28" outlineLevel="1">
      <c r="A246" s="1" t="s">
        <v>399</v>
      </c>
      <c r="B246" s="1" t="s">
        <v>400</v>
      </c>
      <c r="D246" s="88">
        <v>1</v>
      </c>
      <c r="E246" s="88">
        <v>1</v>
      </c>
      <c r="F246" s="88">
        <v>0</v>
      </c>
      <c r="G246" s="1">
        <f t="shared" si="41"/>
        <v>2</v>
      </c>
      <c r="I246" s="6">
        <f t="shared" si="42"/>
        <v>0.66666666666666663</v>
      </c>
      <c r="J246" s="7">
        <f>IFR!AD246</f>
        <v>2.9678252823798468E-3</v>
      </c>
      <c r="K246" s="8">
        <f t="shared" si="33"/>
        <v>0.95</v>
      </c>
      <c r="L246" s="6">
        <f t="shared" si="35"/>
        <v>0.6333333333333333</v>
      </c>
      <c r="M246" s="8">
        <v>1</v>
      </c>
      <c r="N246" s="8">
        <v>1</v>
      </c>
      <c r="P246" s="6">
        <f t="shared" si="36"/>
        <v>0.6333333333333333</v>
      </c>
      <c r="R246" s="9">
        <f t="shared" si="34"/>
        <v>1.1450749722771331E-4</v>
      </c>
      <c r="T246" s="10">
        <f>+R246*([1]assessment!$J$272*[1]assessment!$E$3)</f>
        <v>1031.0379634540288</v>
      </c>
      <c r="V246" s="7">
        <f>+T246/[1]payroll!$F246</f>
        <v>1.0543207268034872E-4</v>
      </c>
      <c r="X246" s="10">
        <f>IF(V246&lt;$X$2,T246,[1]payroll!$F246*$X$2)</f>
        <v>1031.0379634540288</v>
      </c>
      <c r="Z246" s="10">
        <f t="shared" si="37"/>
        <v>0</v>
      </c>
      <c r="AB246" s="1">
        <f t="shared" si="43"/>
        <v>1</v>
      </c>
    </row>
    <row r="247" spans="1:28" outlineLevel="1">
      <c r="A247" s="1" t="s">
        <v>401</v>
      </c>
      <c r="B247" s="1" t="s">
        <v>402</v>
      </c>
      <c r="D247" s="88">
        <v>0</v>
      </c>
      <c r="E247" s="88">
        <v>0</v>
      </c>
      <c r="F247" s="88">
        <v>0</v>
      </c>
      <c r="G247" s="1">
        <f t="shared" si="41"/>
        <v>0</v>
      </c>
      <c r="I247" s="6">
        <f t="shared" si="42"/>
        <v>0</v>
      </c>
      <c r="J247" s="7">
        <f>IFR!AD247</f>
        <v>0</v>
      </c>
      <c r="K247" s="8">
        <f t="shared" si="33"/>
        <v>0.95</v>
      </c>
      <c r="L247" s="6">
        <f t="shared" si="35"/>
        <v>0</v>
      </c>
      <c r="M247" s="8">
        <v>1</v>
      </c>
      <c r="N247" s="8">
        <v>1</v>
      </c>
      <c r="P247" s="6">
        <f t="shared" si="36"/>
        <v>0</v>
      </c>
      <c r="R247" s="9">
        <f t="shared" si="34"/>
        <v>0</v>
      </c>
      <c r="T247" s="10">
        <f>+R247*([1]assessment!$J$272*[1]assessment!$E$3)</f>
        <v>0</v>
      </c>
      <c r="V247" s="7">
        <f>+T247/[1]payroll!$F247</f>
        <v>0</v>
      </c>
      <c r="X247" s="10">
        <f>IF(V247&lt;$X$2,T247,[1]payroll!$F247*$X$2)</f>
        <v>0</v>
      </c>
      <c r="Z247" s="10">
        <f t="shared" si="37"/>
        <v>0</v>
      </c>
      <c r="AB247" s="1" t="e">
        <f t="shared" si="43"/>
        <v>#DIV/0!</v>
      </c>
    </row>
    <row r="248" spans="1:28" outlineLevel="1">
      <c r="A248" s="1" t="s">
        <v>403</v>
      </c>
      <c r="B248" s="1" t="s">
        <v>404</v>
      </c>
      <c r="D248" s="88">
        <v>0</v>
      </c>
      <c r="E248" s="88">
        <v>0</v>
      </c>
      <c r="F248" s="88">
        <v>0</v>
      </c>
      <c r="G248" s="1">
        <f t="shared" si="41"/>
        <v>0</v>
      </c>
      <c r="I248" s="6">
        <f t="shared" si="42"/>
        <v>0</v>
      </c>
      <c r="J248" s="7">
        <f>IFR!AD248</f>
        <v>0</v>
      </c>
      <c r="K248" s="8">
        <f t="shared" si="33"/>
        <v>0.95</v>
      </c>
      <c r="L248" s="6">
        <f t="shared" si="35"/>
        <v>0</v>
      </c>
      <c r="M248" s="8">
        <v>1</v>
      </c>
      <c r="N248" s="8">
        <v>1</v>
      </c>
      <c r="P248" s="6">
        <f t="shared" si="36"/>
        <v>0</v>
      </c>
      <c r="R248" s="9">
        <f t="shared" si="34"/>
        <v>0</v>
      </c>
      <c r="T248" s="10">
        <f>+R248*([1]assessment!$J$272*[1]assessment!$E$3)</f>
        <v>0</v>
      </c>
      <c r="V248" s="7">
        <f>+T248/[1]payroll!$F248</f>
        <v>0</v>
      </c>
      <c r="X248" s="10">
        <f>IF(V248&lt;$X$2,T248,[1]payroll!$F248*$X$2)</f>
        <v>0</v>
      </c>
      <c r="Z248" s="10">
        <f t="shared" si="37"/>
        <v>0</v>
      </c>
      <c r="AB248" s="1" t="e">
        <f t="shared" si="43"/>
        <v>#DIV/0!</v>
      </c>
    </row>
    <row r="249" spans="1:28" outlineLevel="1">
      <c r="A249" s="1" t="s">
        <v>405</v>
      </c>
      <c r="B249" s="1" t="s">
        <v>406</v>
      </c>
      <c r="D249" s="88">
        <v>0</v>
      </c>
      <c r="E249" s="88">
        <v>0</v>
      </c>
      <c r="F249" s="88">
        <v>0</v>
      </c>
      <c r="G249" s="1">
        <f t="shared" si="41"/>
        <v>0</v>
      </c>
      <c r="I249" s="6">
        <f t="shared" si="42"/>
        <v>0</v>
      </c>
      <c r="J249" s="7">
        <f>IFR!AD249</f>
        <v>0</v>
      </c>
      <c r="K249" s="8">
        <f t="shared" si="33"/>
        <v>0.95</v>
      </c>
      <c r="L249" s="6">
        <f t="shared" si="35"/>
        <v>0</v>
      </c>
      <c r="M249" s="8">
        <v>1</v>
      </c>
      <c r="N249" s="8">
        <v>1</v>
      </c>
      <c r="P249" s="6">
        <f t="shared" si="36"/>
        <v>0</v>
      </c>
      <c r="R249" s="9">
        <f t="shared" si="34"/>
        <v>0</v>
      </c>
      <c r="T249" s="10">
        <f>+R249*([1]assessment!$J$272*[1]assessment!$E$3)</f>
        <v>0</v>
      </c>
      <c r="V249" s="7">
        <f>+T249/[1]payroll!$F249</f>
        <v>0</v>
      </c>
      <c r="X249" s="10">
        <f>IF(V249&lt;$X$2,T249,[1]payroll!$F249*$X$2)</f>
        <v>0</v>
      </c>
      <c r="Z249" s="10">
        <f t="shared" si="37"/>
        <v>0</v>
      </c>
      <c r="AB249" s="1" t="e">
        <f t="shared" si="43"/>
        <v>#DIV/0!</v>
      </c>
    </row>
    <row r="250" spans="1:28" outlineLevel="1">
      <c r="A250" s="1" t="s">
        <v>407</v>
      </c>
      <c r="B250" s="1" t="s">
        <v>408</v>
      </c>
      <c r="D250" s="88">
        <v>0</v>
      </c>
      <c r="E250" s="88">
        <v>0</v>
      </c>
      <c r="F250" s="88">
        <v>0</v>
      </c>
      <c r="G250" s="1">
        <f t="shared" si="41"/>
        <v>0</v>
      </c>
      <c r="I250" s="6">
        <f t="shared" si="42"/>
        <v>0</v>
      </c>
      <c r="J250" s="7">
        <f>IFR!AD250</f>
        <v>0</v>
      </c>
      <c r="K250" s="8">
        <f t="shared" si="33"/>
        <v>0.95</v>
      </c>
      <c r="L250" s="6">
        <f t="shared" si="35"/>
        <v>0</v>
      </c>
      <c r="M250" s="8">
        <v>1</v>
      </c>
      <c r="N250" s="8">
        <v>1</v>
      </c>
      <c r="P250" s="6">
        <f t="shared" si="36"/>
        <v>0</v>
      </c>
      <c r="R250" s="9">
        <f t="shared" si="34"/>
        <v>0</v>
      </c>
      <c r="T250" s="10">
        <f>+R250*([1]assessment!$J$272*[1]assessment!$E$3)</f>
        <v>0</v>
      </c>
      <c r="V250" s="7">
        <f>+T250/[1]payroll!$F250</f>
        <v>0</v>
      </c>
      <c r="X250" s="10">
        <f>IF(V250&lt;$X$2,T250,[1]payroll!$F250*$X$2)</f>
        <v>0</v>
      </c>
      <c r="Z250" s="10">
        <f t="shared" si="37"/>
        <v>0</v>
      </c>
      <c r="AB250" s="1" t="e">
        <f t="shared" si="43"/>
        <v>#DIV/0!</v>
      </c>
    </row>
    <row r="251" spans="1:28" outlineLevel="1">
      <c r="A251" s="1" t="s">
        <v>409</v>
      </c>
      <c r="B251" s="1" t="s">
        <v>410</v>
      </c>
      <c r="D251" s="88">
        <v>1</v>
      </c>
      <c r="E251" s="88">
        <v>0</v>
      </c>
      <c r="F251" s="88">
        <v>1</v>
      </c>
      <c r="G251" s="1">
        <f t="shared" si="41"/>
        <v>2</v>
      </c>
      <c r="I251" s="6">
        <f t="shared" si="42"/>
        <v>0.66666666666666663</v>
      </c>
      <c r="J251" s="7">
        <f>IFR!AD251</f>
        <v>6.6666666666666671E-3</v>
      </c>
      <c r="K251" s="8">
        <f t="shared" si="33"/>
        <v>0.95</v>
      </c>
      <c r="L251" s="6">
        <f t="shared" si="35"/>
        <v>0.6333333333333333</v>
      </c>
      <c r="M251" s="8">
        <v>1</v>
      </c>
      <c r="N251" s="8">
        <v>1</v>
      </c>
      <c r="P251" s="6">
        <f t="shared" si="36"/>
        <v>0.6333333333333333</v>
      </c>
      <c r="R251" s="9">
        <f t="shared" si="34"/>
        <v>1.1450749722771331E-4</v>
      </c>
      <c r="T251" s="10">
        <f>+R251*([1]assessment!$J$272*[1]assessment!$E$3)</f>
        <v>1031.0379634540288</v>
      </c>
      <c r="V251" s="7">
        <f>+T251/[1]payroll!$F251</f>
        <v>4.0001462377399293E-4</v>
      </c>
      <c r="X251" s="10">
        <f>IF(V251&lt;$X$2,T251,[1]payroll!$F251*$X$2)</f>
        <v>1031.0379634540288</v>
      </c>
      <c r="Z251" s="10">
        <f t="shared" si="37"/>
        <v>0</v>
      </c>
      <c r="AB251" s="1">
        <f t="shared" si="43"/>
        <v>1</v>
      </c>
    </row>
    <row r="252" spans="1:28" outlineLevel="1">
      <c r="A252" s="1" t="s">
        <v>411</v>
      </c>
      <c r="B252" s="1" t="s">
        <v>412</v>
      </c>
      <c r="D252" s="88">
        <v>0</v>
      </c>
      <c r="E252" s="88">
        <v>0</v>
      </c>
      <c r="F252" s="88">
        <v>1</v>
      </c>
      <c r="G252" s="1">
        <f t="shared" si="41"/>
        <v>1</v>
      </c>
      <c r="I252" s="6">
        <f t="shared" si="42"/>
        <v>0.33333333333333331</v>
      </c>
      <c r="J252" s="7">
        <f>IFR!AD252</f>
        <v>5.0000000000000001E-3</v>
      </c>
      <c r="K252" s="8">
        <f t="shared" si="33"/>
        <v>0.95</v>
      </c>
      <c r="L252" s="6">
        <f t="shared" si="35"/>
        <v>0.31666666666666665</v>
      </c>
      <c r="M252" s="8">
        <v>1</v>
      </c>
      <c r="N252" s="8">
        <v>1</v>
      </c>
      <c r="P252" s="6">
        <f t="shared" si="36"/>
        <v>0.31666666666666665</v>
      </c>
      <c r="R252" s="9">
        <f t="shared" si="34"/>
        <v>5.7253748613856657E-5</v>
      </c>
      <c r="T252" s="10">
        <f>+R252*([1]assessment!$J$272*[1]assessment!$E$3)</f>
        <v>515.51898172701442</v>
      </c>
      <c r="V252" s="7">
        <f>+T252/[1]payroll!$F252</f>
        <v>4.1408408891330727E-4</v>
      </c>
      <c r="X252" s="10">
        <f>IF(V252&lt;$X$2,T252,[1]payroll!$F252*$X$2)</f>
        <v>515.51898172701442</v>
      </c>
      <c r="Z252" s="10">
        <f t="shared" si="37"/>
        <v>0</v>
      </c>
      <c r="AB252" s="1">
        <f t="shared" si="43"/>
        <v>1</v>
      </c>
    </row>
    <row r="253" spans="1:28" outlineLevel="1">
      <c r="A253" s="1" t="s">
        <v>413</v>
      </c>
      <c r="B253" s="1" t="s">
        <v>414</v>
      </c>
      <c r="D253" s="88">
        <v>0</v>
      </c>
      <c r="E253" s="88">
        <v>5</v>
      </c>
      <c r="F253" s="88">
        <v>0</v>
      </c>
      <c r="G253" s="1">
        <f t="shared" si="41"/>
        <v>5</v>
      </c>
      <c r="I253" s="6">
        <f t="shared" si="42"/>
        <v>1.6666666666666667</v>
      </c>
      <c r="J253" s="7">
        <f>IFR!AD253</f>
        <v>1.6666666666666666E-2</v>
      </c>
      <c r="K253" s="8">
        <f t="shared" si="33"/>
        <v>0.95</v>
      </c>
      <c r="L253" s="6">
        <f t="shared" si="35"/>
        <v>1.5833333333333333</v>
      </c>
      <c r="M253" s="8">
        <v>1</v>
      </c>
      <c r="N253" s="8">
        <v>1</v>
      </c>
      <c r="P253" s="6">
        <f t="shared" si="36"/>
        <v>1.5833333333333333</v>
      </c>
      <c r="R253" s="9">
        <f t="shared" si="34"/>
        <v>2.862687430692833E-4</v>
      </c>
      <c r="T253" s="10">
        <f>+R253*([1]assessment!$J$272*[1]assessment!$E$3)</f>
        <v>2577.5949086350724</v>
      </c>
      <c r="V253" s="7">
        <f>+T253/[1]payroll!$F253</f>
        <v>1.2805628949324336E-3</v>
      </c>
      <c r="X253" s="10">
        <f>IF(V253&lt;$X$2,T253,[1]payroll!$F253*$X$2)</f>
        <v>2577.5949086350724</v>
      </c>
      <c r="Z253" s="10">
        <f t="shared" si="37"/>
        <v>0</v>
      </c>
      <c r="AB253" s="1">
        <f t="shared" si="43"/>
        <v>1</v>
      </c>
    </row>
    <row r="254" spans="1:28" outlineLevel="1">
      <c r="A254" s="1" t="s">
        <v>415</v>
      </c>
      <c r="B254" s="1" t="s">
        <v>416</v>
      </c>
      <c r="D254" s="88">
        <v>0</v>
      </c>
      <c r="E254" s="88">
        <v>0</v>
      </c>
      <c r="F254" s="88">
        <v>0</v>
      </c>
      <c r="G254" s="1">
        <f t="shared" si="41"/>
        <v>0</v>
      </c>
      <c r="I254" s="6">
        <f t="shared" si="42"/>
        <v>0</v>
      </c>
      <c r="J254" s="7">
        <f>IFR!AD254</f>
        <v>0</v>
      </c>
      <c r="K254" s="8">
        <f t="shared" si="33"/>
        <v>0.95</v>
      </c>
      <c r="L254" s="6">
        <f t="shared" si="35"/>
        <v>0</v>
      </c>
      <c r="M254" s="8">
        <v>1</v>
      </c>
      <c r="N254" s="8">
        <v>1</v>
      </c>
      <c r="P254" s="6">
        <f t="shared" si="36"/>
        <v>0</v>
      </c>
      <c r="R254" s="9">
        <f t="shared" si="34"/>
        <v>0</v>
      </c>
      <c r="T254" s="10">
        <f>+R254*([1]assessment!$J$272*[1]assessment!$E$3)</f>
        <v>0</v>
      </c>
      <c r="V254" s="7">
        <f>+T254/[1]payroll!$F254</f>
        <v>0</v>
      </c>
      <c r="X254" s="10">
        <f>IF(V254&lt;$X$2,T254,[1]payroll!$F254*$X$2)</f>
        <v>0</v>
      </c>
      <c r="Z254" s="10">
        <f t="shared" si="37"/>
        <v>0</v>
      </c>
      <c r="AB254" s="1" t="e">
        <f t="shared" si="43"/>
        <v>#DIV/0!</v>
      </c>
    </row>
    <row r="255" spans="1:28" outlineLevel="1">
      <c r="A255" s="1" t="s">
        <v>417</v>
      </c>
      <c r="B255" s="1" t="s">
        <v>418</v>
      </c>
      <c r="D255" s="88">
        <v>0</v>
      </c>
      <c r="E255" s="88">
        <v>0</v>
      </c>
      <c r="F255" s="88">
        <v>0</v>
      </c>
      <c r="G255" s="1">
        <f t="shared" si="41"/>
        <v>0</v>
      </c>
      <c r="I255" s="6">
        <f t="shared" si="42"/>
        <v>0</v>
      </c>
      <c r="J255" s="7">
        <f>IFR!AD255</f>
        <v>0</v>
      </c>
      <c r="K255" s="8">
        <f t="shared" si="33"/>
        <v>0.95</v>
      </c>
      <c r="L255" s="6">
        <f t="shared" si="35"/>
        <v>0</v>
      </c>
      <c r="M255" s="8">
        <v>1</v>
      </c>
      <c r="N255" s="8">
        <v>1</v>
      </c>
      <c r="P255" s="6">
        <f t="shared" si="36"/>
        <v>0</v>
      </c>
      <c r="R255" s="9">
        <f t="shared" si="34"/>
        <v>0</v>
      </c>
      <c r="T255" s="10">
        <f>+R255*([1]assessment!$J$272*[1]assessment!$E$3)</f>
        <v>0</v>
      </c>
      <c r="V255" s="7">
        <f>+T255/[1]payroll!$F255</f>
        <v>0</v>
      </c>
      <c r="X255" s="10">
        <f>IF(V255&lt;$X$2,T255,[1]payroll!$F255*$X$2)</f>
        <v>0</v>
      </c>
      <c r="Z255" s="10">
        <f t="shared" si="37"/>
        <v>0</v>
      </c>
      <c r="AB255" s="1" t="e">
        <f t="shared" si="43"/>
        <v>#DIV/0!</v>
      </c>
    </row>
    <row r="256" spans="1:28" outlineLevel="1">
      <c r="A256" s="1" t="s">
        <v>419</v>
      </c>
      <c r="B256" s="1" t="s">
        <v>420</v>
      </c>
      <c r="D256" s="88">
        <v>0</v>
      </c>
      <c r="E256" s="88">
        <v>0</v>
      </c>
      <c r="F256" s="88">
        <v>0</v>
      </c>
      <c r="G256" s="1">
        <f t="shared" si="41"/>
        <v>0</v>
      </c>
      <c r="I256" s="6">
        <f t="shared" si="42"/>
        <v>0</v>
      </c>
      <c r="J256" s="7">
        <f>IFR!AD256</f>
        <v>0</v>
      </c>
      <c r="K256" s="8">
        <f t="shared" si="33"/>
        <v>0.95</v>
      </c>
      <c r="L256" s="6">
        <f t="shared" si="35"/>
        <v>0</v>
      </c>
      <c r="M256" s="8">
        <v>1</v>
      </c>
      <c r="N256" s="8">
        <v>1</v>
      </c>
      <c r="P256" s="6">
        <f t="shared" si="36"/>
        <v>0</v>
      </c>
      <c r="R256" s="9">
        <f t="shared" si="34"/>
        <v>0</v>
      </c>
      <c r="T256" s="10">
        <f>+R256*([1]assessment!$J$272*[1]assessment!$E$3)</f>
        <v>0</v>
      </c>
      <c r="V256" s="7">
        <f>+T256/[1]payroll!$F256</f>
        <v>0</v>
      </c>
      <c r="X256" s="10">
        <f>IF(V256&lt;$X$2,T256,[1]payroll!$F256*$X$2)</f>
        <v>0</v>
      </c>
      <c r="Z256" s="10">
        <f t="shared" si="37"/>
        <v>0</v>
      </c>
      <c r="AB256" s="1" t="e">
        <f t="shared" si="43"/>
        <v>#DIV/0!</v>
      </c>
    </row>
    <row r="257" spans="1:28" outlineLevel="1">
      <c r="A257" s="1" t="s">
        <v>421</v>
      </c>
      <c r="B257" s="1" t="s">
        <v>422</v>
      </c>
      <c r="D257" s="88">
        <v>0</v>
      </c>
      <c r="E257" s="88">
        <v>2</v>
      </c>
      <c r="F257" s="88">
        <v>3</v>
      </c>
      <c r="G257" s="1">
        <f t="shared" si="41"/>
        <v>5</v>
      </c>
      <c r="I257" s="6">
        <f t="shared" si="42"/>
        <v>1.6666666666666667</v>
      </c>
      <c r="J257" s="7">
        <f>IFR!AD257</f>
        <v>2.1666666666666667E-2</v>
      </c>
      <c r="K257" s="8">
        <f t="shared" si="33"/>
        <v>0.95</v>
      </c>
      <c r="L257" s="6">
        <f t="shared" si="35"/>
        <v>1.5833333333333333</v>
      </c>
      <c r="M257" s="8">
        <v>1</v>
      </c>
      <c r="N257" s="8">
        <v>1</v>
      </c>
      <c r="P257" s="6">
        <f t="shared" si="36"/>
        <v>1.5833333333333333</v>
      </c>
      <c r="R257" s="9">
        <f t="shared" si="34"/>
        <v>2.862687430692833E-4</v>
      </c>
      <c r="T257" s="10">
        <f>+R257*([1]assessment!$J$272*[1]assessment!$E$3)</f>
        <v>2577.5949086350724</v>
      </c>
      <c r="V257" s="7">
        <f>+T257/[1]payroll!$F257</f>
        <v>6.4835557368794674E-4</v>
      </c>
      <c r="X257" s="10">
        <f>IF(V257&lt;$X$2,T257,[1]payroll!$F257*$X$2)</f>
        <v>2577.5949086350724</v>
      </c>
      <c r="Z257" s="10">
        <f t="shared" si="37"/>
        <v>0</v>
      </c>
      <c r="AB257" s="1">
        <f t="shared" si="43"/>
        <v>1</v>
      </c>
    </row>
    <row r="258" spans="1:28" outlineLevel="1">
      <c r="A258" s="1" t="s">
        <v>423</v>
      </c>
      <c r="B258" s="1" t="s">
        <v>424</v>
      </c>
      <c r="D258" s="88">
        <v>0</v>
      </c>
      <c r="E258" s="88">
        <v>0</v>
      </c>
      <c r="F258" s="88">
        <v>0</v>
      </c>
      <c r="G258" s="1">
        <f t="shared" si="41"/>
        <v>0</v>
      </c>
      <c r="I258" s="6">
        <f t="shared" si="42"/>
        <v>0</v>
      </c>
      <c r="J258" s="7">
        <f>IFR!AD258</f>
        <v>0</v>
      </c>
      <c r="K258" s="8">
        <f t="shared" si="33"/>
        <v>0.95</v>
      </c>
      <c r="L258" s="6">
        <f t="shared" si="35"/>
        <v>0</v>
      </c>
      <c r="M258" s="8">
        <v>1</v>
      </c>
      <c r="N258" s="8">
        <v>1</v>
      </c>
      <c r="P258" s="6">
        <f t="shared" si="36"/>
        <v>0</v>
      </c>
      <c r="R258" s="9">
        <f t="shared" si="34"/>
        <v>0</v>
      </c>
      <c r="T258" s="10">
        <f>+R258*([1]assessment!$J$272*[1]assessment!$E$3)</f>
        <v>0</v>
      </c>
      <c r="V258" s="7">
        <f>+T258/[1]payroll!$F258</f>
        <v>0</v>
      </c>
      <c r="X258" s="10">
        <f>IF(V258&lt;$X$2,T258,[1]payroll!$F258*$X$2)</f>
        <v>0</v>
      </c>
      <c r="Z258" s="10">
        <f t="shared" si="37"/>
        <v>0</v>
      </c>
      <c r="AB258" s="1" t="e">
        <f t="shared" si="43"/>
        <v>#DIV/0!</v>
      </c>
    </row>
    <row r="259" spans="1:28" outlineLevel="1">
      <c r="A259" s="1" t="s">
        <v>549</v>
      </c>
      <c r="B259" s="1" t="s">
        <v>550</v>
      </c>
      <c r="D259" s="88">
        <v>0</v>
      </c>
      <c r="E259" s="88">
        <v>0</v>
      </c>
      <c r="F259" s="88">
        <v>0</v>
      </c>
      <c r="G259" s="1">
        <f t="shared" si="41"/>
        <v>0</v>
      </c>
      <c r="I259" s="6">
        <f t="shared" si="42"/>
        <v>0</v>
      </c>
      <c r="J259" s="7">
        <f>IFR!AD259</f>
        <v>0</v>
      </c>
      <c r="K259" s="8">
        <f t="shared" si="33"/>
        <v>0.95</v>
      </c>
      <c r="L259" s="6">
        <f t="shared" si="35"/>
        <v>0</v>
      </c>
      <c r="M259" s="8">
        <v>1</v>
      </c>
      <c r="N259" s="8">
        <v>1</v>
      </c>
      <c r="P259" s="6">
        <f t="shared" si="36"/>
        <v>0</v>
      </c>
      <c r="R259" s="9">
        <f t="shared" si="34"/>
        <v>0</v>
      </c>
      <c r="T259" s="10">
        <f>+R259*([1]assessment!$J$272*[1]assessment!$E$3)</f>
        <v>0</v>
      </c>
      <c r="V259" s="7">
        <f>+T259/[1]payroll!$F259</f>
        <v>0</v>
      </c>
      <c r="X259" s="10">
        <f>IF(V259&lt;$X$2,T259,[1]payroll!$F259*$X$2)</f>
        <v>0</v>
      </c>
      <c r="Z259" s="10">
        <f t="shared" si="37"/>
        <v>0</v>
      </c>
      <c r="AB259" s="1" t="e">
        <f t="shared" si="43"/>
        <v>#DIV/0!</v>
      </c>
    </row>
    <row r="260" spans="1:28" outlineLevel="1">
      <c r="A260" s="1" t="s">
        <v>425</v>
      </c>
      <c r="B260" s="1" t="s">
        <v>426</v>
      </c>
      <c r="D260" s="88">
        <v>0</v>
      </c>
      <c r="E260" s="88">
        <v>0</v>
      </c>
      <c r="F260" s="88">
        <v>0</v>
      </c>
      <c r="G260" s="1">
        <f t="shared" si="41"/>
        <v>0</v>
      </c>
      <c r="I260" s="6">
        <f t="shared" si="42"/>
        <v>0</v>
      </c>
      <c r="J260" s="7">
        <f>IFR!AD260</f>
        <v>0</v>
      </c>
      <c r="K260" s="8">
        <f t="shared" si="33"/>
        <v>0.95</v>
      </c>
      <c r="L260" s="6">
        <f t="shared" si="35"/>
        <v>0</v>
      </c>
      <c r="M260" s="8">
        <v>1</v>
      </c>
      <c r="N260" s="8">
        <v>1</v>
      </c>
      <c r="P260" s="6">
        <f t="shared" si="36"/>
        <v>0</v>
      </c>
      <c r="R260" s="9">
        <f t="shared" si="34"/>
        <v>0</v>
      </c>
      <c r="T260" s="10">
        <f>+R260*([1]assessment!$J$272*[1]assessment!$E$3)</f>
        <v>0</v>
      </c>
      <c r="V260" s="7">
        <f>+T260/[1]payroll!$F260</f>
        <v>0</v>
      </c>
      <c r="X260" s="10">
        <f>IF(V260&lt;$X$2,T260,[1]payroll!$F260*$X$2)</f>
        <v>0</v>
      </c>
      <c r="Z260" s="10">
        <f t="shared" si="37"/>
        <v>0</v>
      </c>
      <c r="AB260" s="1" t="e">
        <f t="shared" si="43"/>
        <v>#DIV/0!</v>
      </c>
    </row>
    <row r="261" spans="1:28" outlineLevel="1">
      <c r="A261" s="1" t="s">
        <v>427</v>
      </c>
      <c r="B261" s="1" t="s">
        <v>428</v>
      </c>
      <c r="D261" s="88">
        <v>0</v>
      </c>
      <c r="E261" s="88">
        <v>0</v>
      </c>
      <c r="F261" s="88">
        <v>0</v>
      </c>
      <c r="G261" s="1">
        <f t="shared" si="41"/>
        <v>0</v>
      </c>
      <c r="I261" s="42">
        <f t="shared" si="42"/>
        <v>0</v>
      </c>
      <c r="J261" s="7">
        <f>IFR!AD261</f>
        <v>0</v>
      </c>
      <c r="K261" s="8">
        <f t="shared" ref="K261" si="44">IF(+J261&lt;$E$267,$I$267,IF(J261&gt;$E$269,$I$269,$I$268))</f>
        <v>0.95</v>
      </c>
      <c r="L261" s="6">
        <f t="shared" si="35"/>
        <v>0</v>
      </c>
      <c r="M261" s="8">
        <v>1</v>
      </c>
      <c r="N261" s="8">
        <v>1</v>
      </c>
      <c r="P261" s="6">
        <f t="shared" si="36"/>
        <v>0</v>
      </c>
      <c r="R261" s="9">
        <f t="shared" si="34"/>
        <v>0</v>
      </c>
      <c r="T261" s="10">
        <f>+R261*([1]assessment!$J$272*[1]assessment!$E$3)</f>
        <v>0</v>
      </c>
      <c r="V261" s="7">
        <f>+T261/[1]payroll!$F261</f>
        <v>0</v>
      </c>
      <c r="X261" s="10">
        <f>IF(V261&lt;$X$2,T261,[1]payroll!$F261*$X$2)</f>
        <v>0</v>
      </c>
      <c r="Z261" s="10">
        <f t="shared" si="37"/>
        <v>0</v>
      </c>
      <c r="AB261" s="1" t="e">
        <f t="shared" si="43"/>
        <v>#DIV/0!</v>
      </c>
    </row>
    <row r="262" spans="1:28">
      <c r="B262" s="1" t="s">
        <v>472</v>
      </c>
      <c r="D262" s="88">
        <f>SUBTOTAL(9,D140:D261)</f>
        <v>39</v>
      </c>
      <c r="E262" s="88">
        <f>SUBTOTAL(9,E140:E261)</f>
        <v>67</v>
      </c>
      <c r="F262" s="88">
        <f>SUBTOTAL(9,F140:F261)</f>
        <v>53</v>
      </c>
      <c r="G262" s="1">
        <f>SUBTOTAL(9,G140:G261)</f>
        <v>159</v>
      </c>
      <c r="I262" s="6">
        <f>SUBTOTAL(9,I140:I261)</f>
        <v>52.999999999999993</v>
      </c>
      <c r="J262" s="7">
        <f>+[2]IFR!AD261</f>
        <v>1.2107212057282749E-2</v>
      </c>
      <c r="K262" s="8">
        <f>+L262/I262</f>
        <v>0.95000000000000018</v>
      </c>
      <c r="L262" s="6">
        <f>SUBTOTAL(9,L140:L261)</f>
        <v>50.35</v>
      </c>
      <c r="M262" s="8">
        <f>+P262/L262</f>
        <v>1</v>
      </c>
      <c r="N262" s="8"/>
      <c r="P262" s="6">
        <f>SUBTOTAL(9,P140:P261)</f>
        <v>50.35</v>
      </c>
      <c r="R262" s="9">
        <f>SUBTOTAL(9,R140:R261)</f>
        <v>9.1033460296032105E-3</v>
      </c>
      <c r="T262" s="10">
        <f>SUBTOTAL(9,T140:T261)</f>
        <v>81967.518094595318</v>
      </c>
      <c r="V262" s="57">
        <f>SUBTOTAL(9,V140:V261)</f>
        <v>2.7222685548756401E-2</v>
      </c>
      <c r="W262" s="10">
        <f>SUBTOTAL(9,W140:W261)</f>
        <v>0</v>
      </c>
      <c r="X262" s="10">
        <f>SUBTOTAL(9,X140:X261)</f>
        <v>81967.518094595318</v>
      </c>
      <c r="Z262" s="10">
        <f t="shared" si="37"/>
        <v>0</v>
      </c>
      <c r="AB262" s="1">
        <f t="shared" si="43"/>
        <v>1</v>
      </c>
    </row>
    <row r="263" spans="1:28">
      <c r="D263" s="89"/>
      <c r="E263" s="89"/>
      <c r="F263" s="89"/>
      <c r="J263" s="6"/>
      <c r="Z263" s="23"/>
    </row>
    <row r="264" spans="1:28" ht="13.5" thickBot="1">
      <c r="D264" s="88">
        <f>SUBTOTAL(9,D4:D263)</f>
        <v>5541</v>
      </c>
      <c r="E264" s="88">
        <f>SUBTOTAL(9,E4:E263)</f>
        <v>5321</v>
      </c>
      <c r="F264" s="88">
        <f>SUBTOTAL(9,F4:F263)</f>
        <v>5839</v>
      </c>
      <c r="G264" s="10">
        <f>SUM(G4:G261)</f>
        <v>16701</v>
      </c>
      <c r="I264" s="43">
        <f>SUBTOTAL(9,I4:I263)</f>
        <v>5566.9999999999973</v>
      </c>
      <c r="J264" s="7">
        <f>+IFR!AD264</f>
        <v>3.0924468821668393E-2</v>
      </c>
      <c r="K264" s="8">
        <f>+L264/I264</f>
        <v>0.99352134602718367</v>
      </c>
      <c r="L264" s="43">
        <f>SUBTOTAL(9,L4:L263)</f>
        <v>5530.9333333333288</v>
      </c>
      <c r="M264" s="8">
        <f>+P264/L264</f>
        <v>1</v>
      </c>
      <c r="N264" s="44"/>
      <c r="P264" s="43">
        <f>SUBTOTAL(9,P4:P263)</f>
        <v>5530.9333333333288</v>
      </c>
      <c r="R264" s="39">
        <f>SUBTOTAL(9,R5:R261)</f>
        <v>1.0000000000000011</v>
      </c>
      <c r="T264" s="14">
        <f>SUBTOTAL(9,T5:T261)</f>
        <v>9004108.7999999952</v>
      </c>
      <c r="V264" s="14">
        <f>+T264/payroll!F264</f>
        <v>7.4511310725487278E-4</v>
      </c>
      <c r="W264" s="14">
        <f>SUBTOTAL(9,W5:W263)</f>
        <v>0</v>
      </c>
      <c r="X264" s="14">
        <f>SUBTOTAL(9,X5:X263)</f>
        <v>9004108.7999999952</v>
      </c>
      <c r="Z264" s="10">
        <f>SUBTOTAL(9,Z4:Z263)</f>
        <v>0</v>
      </c>
    </row>
    <row r="265" spans="1:28" ht="13.5" thickTop="1">
      <c r="J265" s="6"/>
    </row>
    <row r="266" spans="1:28">
      <c r="B266" s="16" t="s">
        <v>459</v>
      </c>
    </row>
    <row r="267" spans="1:28">
      <c r="B267" s="16" t="s">
        <v>460</v>
      </c>
      <c r="C267" s="45" t="s">
        <v>530</v>
      </c>
      <c r="D267" s="70" t="s">
        <v>461</v>
      </c>
      <c r="E267" s="41">
        <v>3.5000000000000003E-2</v>
      </c>
      <c r="H267" s="45" t="s">
        <v>529</v>
      </c>
      <c r="I267" s="2">
        <v>0.95</v>
      </c>
      <c r="R267" s="1"/>
      <c r="S267" s="9"/>
    </row>
    <row r="268" spans="1:28">
      <c r="B268" s="16" t="s">
        <v>462</v>
      </c>
      <c r="C268" s="45" t="s">
        <v>530</v>
      </c>
      <c r="D268" s="90" t="s">
        <v>463</v>
      </c>
      <c r="E268" s="41"/>
      <c r="H268" s="45" t="s">
        <v>529</v>
      </c>
      <c r="I268" s="2">
        <v>1</v>
      </c>
      <c r="R268" s="1"/>
      <c r="S268" s="9"/>
    </row>
    <row r="269" spans="1:28">
      <c r="B269" s="16" t="s">
        <v>464</v>
      </c>
      <c r="C269" s="45" t="s">
        <v>530</v>
      </c>
      <c r="D269" s="70" t="s">
        <v>482</v>
      </c>
      <c r="E269" s="90">
        <v>7.4999999999999997E-2</v>
      </c>
      <c r="H269" s="45" t="s">
        <v>529</v>
      </c>
      <c r="I269" s="2">
        <v>1.05</v>
      </c>
      <c r="R269" s="1"/>
      <c r="S269" s="9"/>
    </row>
    <row r="270" spans="1:28">
      <c r="T270" s="10"/>
    </row>
    <row r="272" spans="1:28">
      <c r="D272" s="88"/>
      <c r="E272" s="88"/>
      <c r="F272" s="88"/>
    </row>
    <row r="273" spans="4:6">
      <c r="F273" s="91"/>
    </row>
    <row r="275" spans="4:6">
      <c r="D275" s="91"/>
      <c r="E275" s="91"/>
      <c r="F275" s="91"/>
    </row>
    <row r="276" spans="4:6">
      <c r="D276" s="91"/>
      <c r="E276" s="91"/>
      <c r="F276" s="91"/>
    </row>
  </sheetData>
  <sortState xmlns:xlrd2="http://schemas.microsoft.com/office/spreadsheetml/2017/richdata2" ref="A140:AC261">
    <sortCondition ref="A140:A261"/>
  </sortState>
  <phoneticPr fontId="5" type="noConversion"/>
  <printOptions horizontalCentered="1"/>
  <pageMargins left="0.25" right="0.25" top="0.95" bottom="0.5" header="0.5" footer="0.25"/>
  <pageSetup scale="59" orientation="landscape" horizontalDpi="4294967292" verticalDpi="200" r:id="rId1"/>
  <headerFooter alignWithMargins="0">
    <oddHeader>&amp;C&amp;"Arial,Bold"&amp;14State Office of Risk Management
FY 2026 Assessment Amounts</oddHeader>
    <oddFooter>&amp;L &amp;D&amp;CPage &amp;P of 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74"/>
  <sheetViews>
    <sheetView tabSelected="1" view="pageBreakPreview" zoomScaleNormal="100" zoomScaleSheetLayoutView="100" workbookViewId="0"/>
  </sheetViews>
  <sheetFormatPr defaultColWidth="9.140625" defaultRowHeight="12.75" outlineLevelRow="1"/>
  <cols>
    <col min="1" max="1" width="6.85546875" style="1" customWidth="1"/>
    <col min="2" max="2" width="45.42578125" style="1" customWidth="1"/>
    <col min="3" max="3" width="15" style="11" customWidth="1"/>
    <col min="4" max="4" width="14.7109375" style="11" customWidth="1"/>
    <col min="5" max="5" width="17.42578125" style="11" customWidth="1"/>
    <col min="6" max="6" width="2.28515625" style="1" customWidth="1"/>
    <col min="7" max="7" width="14" style="1" bestFit="1" customWidth="1"/>
    <col min="8" max="8" width="8.5703125" style="1" bestFit="1" customWidth="1"/>
    <col min="9" max="9" width="1.5703125" style="1" customWidth="1"/>
    <col min="10" max="10" width="14" style="1" bestFit="1" customWidth="1"/>
    <col min="11" max="11" width="1.5703125" style="1" customWidth="1"/>
    <col min="12" max="12" width="9.28515625" style="1" customWidth="1"/>
    <col min="13" max="13" width="1.5703125" style="1" customWidth="1"/>
    <col min="14" max="14" width="19" style="1" bestFit="1" customWidth="1"/>
    <col min="15" max="15" width="1.5703125" style="1" customWidth="1"/>
    <col min="16" max="16" width="7.140625" style="1" customWidth="1"/>
    <col min="17" max="17" width="1.5703125" style="1" customWidth="1"/>
    <col min="18" max="18" width="13.42578125" style="1" customWidth="1"/>
    <col min="19" max="19" width="1.85546875" style="1" customWidth="1"/>
    <col min="20" max="20" width="10.28515625" style="1" customWidth="1"/>
    <col min="21" max="21" width="1.5703125" style="1" customWidth="1"/>
    <col min="22" max="22" width="6.85546875" style="1" hidden="1" customWidth="1"/>
    <col min="23" max="23" width="9.140625" style="1"/>
    <col min="24" max="24" width="1.5703125" style="1" customWidth="1"/>
    <col min="25" max="27" width="9.140625" style="1" customWidth="1"/>
    <col min="28" max="28" width="13.140625" style="1" customWidth="1"/>
    <col min="29" max="29" width="9.140625" style="1" customWidth="1"/>
    <col min="30" max="16384" width="9.140625" style="1"/>
  </cols>
  <sheetData>
    <row r="1" spans="1:24">
      <c r="H1" s="12"/>
      <c r="L1" s="12"/>
      <c r="N1" s="12" t="s">
        <v>441</v>
      </c>
      <c r="R1" s="12" t="s">
        <v>434</v>
      </c>
    </row>
    <row r="2" spans="1:24">
      <c r="A2" s="12" t="s">
        <v>449</v>
      </c>
      <c r="B2" s="19"/>
      <c r="G2" s="12" t="s">
        <v>431</v>
      </c>
      <c r="H2" s="12" t="s">
        <v>443</v>
      </c>
      <c r="J2" s="12" t="s">
        <v>432</v>
      </c>
      <c r="L2" s="12" t="s">
        <v>3</v>
      </c>
      <c r="N2" s="12" t="s">
        <v>3</v>
      </c>
      <c r="P2" s="12" t="s">
        <v>4</v>
      </c>
      <c r="R2" s="87">
        <v>0.04</v>
      </c>
      <c r="T2" s="12"/>
    </row>
    <row r="3" spans="1:24">
      <c r="A3" s="13" t="s">
        <v>447</v>
      </c>
      <c r="B3" s="13" t="s">
        <v>448</v>
      </c>
      <c r="C3" s="13" t="s">
        <v>563</v>
      </c>
      <c r="D3" s="13" t="s">
        <v>585</v>
      </c>
      <c r="E3" s="13" t="s">
        <v>593</v>
      </c>
      <c r="F3" s="13"/>
      <c r="G3" s="13" t="s">
        <v>442</v>
      </c>
      <c r="H3" s="13" t="s">
        <v>444</v>
      </c>
      <c r="J3" s="13" t="s">
        <v>442</v>
      </c>
      <c r="K3" s="13"/>
      <c r="L3" s="13" t="s">
        <v>5</v>
      </c>
      <c r="M3" s="13"/>
      <c r="N3" s="13" t="s">
        <v>6</v>
      </c>
      <c r="O3" s="13"/>
      <c r="P3" s="13" t="s">
        <v>1</v>
      </c>
      <c r="Q3" s="13"/>
      <c r="R3" s="13" t="s">
        <v>439</v>
      </c>
      <c r="S3" s="13"/>
      <c r="T3" s="13" t="s">
        <v>440</v>
      </c>
      <c r="U3" s="13"/>
      <c r="V3" s="13"/>
      <c r="W3" s="13"/>
      <c r="X3" s="13"/>
    </row>
    <row r="4" spans="1:24">
      <c r="H4" s="7"/>
      <c r="L4" s="9"/>
    </row>
    <row r="5" spans="1:24">
      <c r="A5" s="1" t="s">
        <v>7</v>
      </c>
      <c r="B5" s="1" t="s">
        <v>500</v>
      </c>
      <c r="C5" s="5">
        <v>0</v>
      </c>
      <c r="D5" s="5">
        <v>0</v>
      </c>
      <c r="E5" s="5">
        <v>0</v>
      </c>
      <c r="F5" s="2"/>
      <c r="G5" s="2">
        <f>IF(SUM(C5:E5)&gt;0,AVERAGE(C5:E5),0)</f>
        <v>0</v>
      </c>
      <c r="H5" s="8">
        <v>1</v>
      </c>
      <c r="J5" s="2">
        <f>+G5*H5</f>
        <v>0</v>
      </c>
      <c r="L5" s="9">
        <f t="shared" ref="L5:L68" si="0">+J5/$J$264</f>
        <v>0</v>
      </c>
      <c r="N5" s="2">
        <f>L5*([1]assessment!$J$272*[1]assessment!$F$3)</f>
        <v>0</v>
      </c>
      <c r="P5" s="7">
        <f>N5/[1]payroll!$F5</f>
        <v>0</v>
      </c>
      <c r="R5" s="2">
        <f>IF(P5&lt;$R$2,N5,[1]payroll!$F5*$R$2)</f>
        <v>0</v>
      </c>
      <c r="T5" s="10">
        <f>+N5-R5</f>
        <v>0</v>
      </c>
      <c r="V5" s="1" t="e">
        <f>+R5/N5</f>
        <v>#DIV/0!</v>
      </c>
    </row>
    <row r="6" spans="1:24">
      <c r="A6" s="1" t="s">
        <v>8</v>
      </c>
      <c r="B6" s="1" t="s">
        <v>501</v>
      </c>
      <c r="C6" s="5">
        <v>160</v>
      </c>
      <c r="D6" s="5">
        <v>183.86</v>
      </c>
      <c r="E6" s="5">
        <v>0</v>
      </c>
      <c r="F6" s="2"/>
      <c r="G6" s="2">
        <f t="shared" ref="G6:G69" si="1">IF(SUM(C6:E6)&gt;0,AVERAGE(C6:E6),0)</f>
        <v>114.62</v>
      </c>
      <c r="H6" s="8">
        <v>1</v>
      </c>
      <c r="J6" s="2">
        <f t="shared" ref="J6:J68" si="2">+G6*H6</f>
        <v>114.62</v>
      </c>
      <c r="L6" s="9">
        <f t="shared" si="0"/>
        <v>3.1655142848778405E-6</v>
      </c>
      <c r="N6" s="2">
        <f>L6*([1]assessment!$J$272*[1]assessment!$F$3)</f>
        <v>114.01054011597707</v>
      </c>
      <c r="P6" s="7">
        <f>N6/[1]payroll!$F6</f>
        <v>2.8551082170701306E-6</v>
      </c>
      <c r="R6" s="2">
        <f>IF(P6&lt;$R$2,N6,[1]payroll!$F6*$R$2)</f>
        <v>114.01054011597707</v>
      </c>
      <c r="T6" s="10">
        <f t="shared" ref="T6:T68" si="3">+N6-R6</f>
        <v>0</v>
      </c>
      <c r="V6" s="1">
        <f t="shared" ref="V6:V68" si="4">+R6/N6</f>
        <v>1</v>
      </c>
    </row>
    <row r="7" spans="1:24">
      <c r="A7" s="1" t="s">
        <v>9</v>
      </c>
      <c r="B7" s="1" t="s">
        <v>10</v>
      </c>
      <c r="C7" s="5">
        <v>0</v>
      </c>
      <c r="D7" s="5">
        <v>0</v>
      </c>
      <c r="E7" s="5">
        <v>0</v>
      </c>
      <c r="F7" s="2"/>
      <c r="G7" s="2">
        <f t="shared" si="1"/>
        <v>0</v>
      </c>
      <c r="H7" s="8">
        <v>1</v>
      </c>
      <c r="J7" s="2">
        <f t="shared" si="2"/>
        <v>0</v>
      </c>
      <c r="L7" s="9">
        <f t="shared" si="0"/>
        <v>0</v>
      </c>
      <c r="N7" s="2">
        <f>L7*([1]assessment!$J$272*[1]assessment!$F$3)</f>
        <v>0</v>
      </c>
      <c r="P7" s="7">
        <f>N7/[1]payroll!$F7</f>
        <v>0</v>
      </c>
      <c r="R7" s="2">
        <f>IF(P7&lt;$R$2,N7,[1]payroll!$F7*$R$2)</f>
        <v>0</v>
      </c>
      <c r="T7" s="10">
        <f t="shared" si="3"/>
        <v>0</v>
      </c>
      <c r="V7" s="1" t="e">
        <f t="shared" si="4"/>
        <v>#DIV/0!</v>
      </c>
    </row>
    <row r="8" spans="1:24">
      <c r="A8" s="1" t="s">
        <v>11</v>
      </c>
      <c r="B8" s="1" t="s">
        <v>12</v>
      </c>
      <c r="C8" s="5">
        <v>0</v>
      </c>
      <c r="D8" s="5">
        <v>0</v>
      </c>
      <c r="E8" s="5">
        <v>0</v>
      </c>
      <c r="F8" s="2"/>
      <c r="G8" s="2">
        <f t="shared" si="1"/>
        <v>0</v>
      </c>
      <c r="H8" s="8">
        <v>1</v>
      </c>
      <c r="J8" s="2">
        <f t="shared" si="2"/>
        <v>0</v>
      </c>
      <c r="L8" s="9">
        <f t="shared" si="0"/>
        <v>0</v>
      </c>
      <c r="N8" s="2">
        <f>L8*([1]assessment!$J$272*[1]assessment!$F$3)</f>
        <v>0</v>
      </c>
      <c r="P8" s="7">
        <f>N8/[1]payroll!$F8</f>
        <v>0</v>
      </c>
      <c r="R8" s="2">
        <f>IF(P8&lt;$R$2,N8,[1]payroll!$F8*$R$2)</f>
        <v>0</v>
      </c>
      <c r="T8" s="10">
        <f t="shared" si="3"/>
        <v>0</v>
      </c>
      <c r="V8" s="1" t="e">
        <f t="shared" si="4"/>
        <v>#DIV/0!</v>
      </c>
    </row>
    <row r="9" spans="1:24">
      <c r="A9" s="1" t="s">
        <v>13</v>
      </c>
      <c r="B9" s="1" t="s">
        <v>14</v>
      </c>
      <c r="C9" s="5">
        <v>0</v>
      </c>
      <c r="D9" s="5">
        <v>0</v>
      </c>
      <c r="E9" s="5">
        <v>0</v>
      </c>
      <c r="F9" s="2"/>
      <c r="G9" s="2">
        <f t="shared" si="1"/>
        <v>0</v>
      </c>
      <c r="H9" s="8">
        <v>1</v>
      </c>
      <c r="J9" s="2">
        <f t="shared" si="2"/>
        <v>0</v>
      </c>
      <c r="L9" s="9">
        <f t="shared" si="0"/>
        <v>0</v>
      </c>
      <c r="N9" s="2">
        <f>L9*([1]assessment!$J$272*[1]assessment!$F$3)</f>
        <v>0</v>
      </c>
      <c r="P9" s="7">
        <f>N9/[1]payroll!$F9</f>
        <v>0</v>
      </c>
      <c r="R9" s="2">
        <f>IF(P9&lt;$R$2,N9,[1]payroll!$F9*$R$2)</f>
        <v>0</v>
      </c>
      <c r="T9" s="10">
        <f t="shared" si="3"/>
        <v>0</v>
      </c>
      <c r="V9" s="1" t="e">
        <f t="shared" si="4"/>
        <v>#DIV/0!</v>
      </c>
    </row>
    <row r="10" spans="1:24">
      <c r="A10" s="1" t="s">
        <v>15</v>
      </c>
      <c r="B10" s="1" t="s">
        <v>16</v>
      </c>
      <c r="C10" s="5">
        <v>0</v>
      </c>
      <c r="D10" s="5">
        <v>0</v>
      </c>
      <c r="E10" s="5">
        <v>0</v>
      </c>
      <c r="F10" s="2"/>
      <c r="G10" s="2">
        <f t="shared" si="1"/>
        <v>0</v>
      </c>
      <c r="H10" s="8">
        <v>1</v>
      </c>
      <c r="J10" s="2">
        <f t="shared" si="2"/>
        <v>0</v>
      </c>
      <c r="L10" s="9">
        <f t="shared" si="0"/>
        <v>0</v>
      </c>
      <c r="N10" s="2">
        <f>L10*([1]assessment!$J$272*[1]assessment!$F$3)</f>
        <v>0</v>
      </c>
      <c r="P10" s="7">
        <f>N10/[1]payroll!$F10</f>
        <v>0</v>
      </c>
      <c r="R10" s="2">
        <f>IF(P10&lt;$R$2,N10,[1]payroll!$F10*$R$2)</f>
        <v>0</v>
      </c>
      <c r="T10" s="10">
        <f t="shared" si="3"/>
        <v>0</v>
      </c>
      <c r="V10" s="1" t="e">
        <f t="shared" si="4"/>
        <v>#DIV/0!</v>
      </c>
    </row>
    <row r="11" spans="1:24">
      <c r="A11" s="1" t="s">
        <v>17</v>
      </c>
      <c r="B11" s="1" t="s">
        <v>18</v>
      </c>
      <c r="C11" s="5">
        <v>0</v>
      </c>
      <c r="D11" s="5">
        <v>646.95000000000005</v>
      </c>
      <c r="E11" s="5">
        <v>0</v>
      </c>
      <c r="F11" s="2"/>
      <c r="G11" s="2">
        <f t="shared" si="1"/>
        <v>215.65</v>
      </c>
      <c r="H11" s="8">
        <v>1</v>
      </c>
      <c r="J11" s="2">
        <f t="shared" si="2"/>
        <v>215.65</v>
      </c>
      <c r="L11" s="9">
        <f t="shared" si="0"/>
        <v>5.9557071674568691E-6</v>
      </c>
      <c r="N11" s="2">
        <f>L11*([1]assessment!$J$272*[1]assessment!$F$3)</f>
        <v>214.50334126688585</v>
      </c>
      <c r="P11" s="7">
        <f>N11/[1]payroll!$F11</f>
        <v>2.8411734132769722E-5</v>
      </c>
      <c r="R11" s="2">
        <f>IF(P11&lt;$R$2,N11,[1]payroll!$F11*$R$2)</f>
        <v>214.50334126688585</v>
      </c>
      <c r="T11" s="10">
        <f t="shared" si="3"/>
        <v>0</v>
      </c>
      <c r="V11" s="1">
        <f t="shared" si="4"/>
        <v>1</v>
      </c>
    </row>
    <row r="12" spans="1:24">
      <c r="A12" s="1" t="s">
        <v>19</v>
      </c>
      <c r="B12" s="1" t="s">
        <v>20</v>
      </c>
      <c r="C12" s="5">
        <v>0</v>
      </c>
      <c r="D12" s="5">
        <v>0</v>
      </c>
      <c r="E12" s="5">
        <v>0</v>
      </c>
      <c r="F12" s="2"/>
      <c r="G12" s="2">
        <f t="shared" si="1"/>
        <v>0</v>
      </c>
      <c r="H12" s="8">
        <v>1</v>
      </c>
      <c r="J12" s="2">
        <f t="shared" si="2"/>
        <v>0</v>
      </c>
      <c r="L12" s="9">
        <f t="shared" si="0"/>
        <v>0</v>
      </c>
      <c r="N12" s="2">
        <f>L12*([1]assessment!$J$272*[1]assessment!$F$3)</f>
        <v>0</v>
      </c>
      <c r="P12" s="7">
        <f>N12/[1]payroll!$F12</f>
        <v>0</v>
      </c>
      <c r="R12" s="2">
        <f>IF(P12&lt;$R$2,N12,[1]payroll!$F12*$R$2)</f>
        <v>0</v>
      </c>
      <c r="T12" s="10">
        <f t="shared" si="3"/>
        <v>0</v>
      </c>
      <c r="V12" s="1" t="e">
        <f t="shared" si="4"/>
        <v>#DIV/0!</v>
      </c>
    </row>
    <row r="13" spans="1:24">
      <c r="A13" s="1" t="s">
        <v>21</v>
      </c>
      <c r="B13" s="1" t="s">
        <v>22</v>
      </c>
      <c r="C13" s="5">
        <v>0</v>
      </c>
      <c r="D13" s="5">
        <v>0</v>
      </c>
      <c r="E13" s="5">
        <v>0</v>
      </c>
      <c r="F13" s="2"/>
      <c r="G13" s="2">
        <f t="shared" si="1"/>
        <v>0</v>
      </c>
      <c r="H13" s="8">
        <v>1</v>
      </c>
      <c r="J13" s="2">
        <f t="shared" si="2"/>
        <v>0</v>
      </c>
      <c r="L13" s="9">
        <f t="shared" si="0"/>
        <v>0</v>
      </c>
      <c r="N13" s="2">
        <f>L13*([1]assessment!$J$272*[1]assessment!$F$3)</f>
        <v>0</v>
      </c>
      <c r="P13" s="7">
        <f>N13/[1]payroll!$F13</f>
        <v>0</v>
      </c>
      <c r="R13" s="2">
        <f>IF(P13&lt;$R$2,N13,[1]payroll!$F13*$R$2)</f>
        <v>0</v>
      </c>
      <c r="T13" s="10">
        <f t="shared" si="3"/>
        <v>0</v>
      </c>
      <c r="V13" s="1" t="e">
        <f t="shared" si="4"/>
        <v>#DIV/0!</v>
      </c>
    </row>
    <row r="14" spans="1:24">
      <c r="A14" s="1" t="s">
        <v>23</v>
      </c>
      <c r="B14" s="1" t="s">
        <v>24</v>
      </c>
      <c r="C14" s="5">
        <v>0</v>
      </c>
      <c r="D14" s="5">
        <v>0</v>
      </c>
      <c r="E14" s="5">
        <v>0</v>
      </c>
      <c r="F14" s="2"/>
      <c r="G14" s="2">
        <f t="shared" si="1"/>
        <v>0</v>
      </c>
      <c r="H14" s="8">
        <v>1</v>
      </c>
      <c r="J14" s="2">
        <f t="shared" si="2"/>
        <v>0</v>
      </c>
      <c r="L14" s="9">
        <f t="shared" si="0"/>
        <v>0</v>
      </c>
      <c r="N14" s="2">
        <f>L14*([1]assessment!$J$272*[1]assessment!$F$3)</f>
        <v>0</v>
      </c>
      <c r="P14" s="7">
        <f>N14/[1]payroll!$F14</f>
        <v>0</v>
      </c>
      <c r="R14" s="2">
        <f>IF(P14&lt;$R$2,N14,[1]payroll!$F14*$R$2)</f>
        <v>0</v>
      </c>
      <c r="T14" s="10">
        <f t="shared" si="3"/>
        <v>0</v>
      </c>
      <c r="V14" s="1" t="e">
        <f t="shared" si="4"/>
        <v>#DIV/0!</v>
      </c>
    </row>
    <row r="15" spans="1:24">
      <c r="A15" s="1" t="s">
        <v>25</v>
      </c>
      <c r="B15" s="1" t="s">
        <v>26</v>
      </c>
      <c r="C15" s="5">
        <v>0</v>
      </c>
      <c r="D15" s="5">
        <v>0</v>
      </c>
      <c r="E15" s="5">
        <v>0</v>
      </c>
      <c r="F15" s="2"/>
      <c r="G15" s="2">
        <f t="shared" si="1"/>
        <v>0</v>
      </c>
      <c r="H15" s="8">
        <v>1</v>
      </c>
      <c r="J15" s="2">
        <f t="shared" si="2"/>
        <v>0</v>
      </c>
      <c r="L15" s="9">
        <f t="shared" si="0"/>
        <v>0</v>
      </c>
      <c r="N15" s="2">
        <f>L15*([1]assessment!$J$272*[1]assessment!$F$3)</f>
        <v>0</v>
      </c>
      <c r="P15" s="7">
        <f>N15/[1]payroll!$F15</f>
        <v>0</v>
      </c>
      <c r="R15" s="2">
        <f>IF(P15&lt;$R$2,N15,[1]payroll!$F15*$R$2)</f>
        <v>0</v>
      </c>
      <c r="T15" s="10">
        <f t="shared" si="3"/>
        <v>0</v>
      </c>
      <c r="V15" s="1" t="e">
        <f t="shared" si="4"/>
        <v>#DIV/0!</v>
      </c>
    </row>
    <row r="16" spans="1:24">
      <c r="A16" s="1" t="s">
        <v>532</v>
      </c>
      <c r="B16" s="1" t="s">
        <v>555</v>
      </c>
      <c r="C16" s="5">
        <v>0</v>
      </c>
      <c r="D16" s="5">
        <v>0</v>
      </c>
      <c r="E16" s="5">
        <v>0</v>
      </c>
      <c r="F16" s="2"/>
      <c r="G16" s="2">
        <f t="shared" si="1"/>
        <v>0</v>
      </c>
      <c r="H16" s="8">
        <v>1</v>
      </c>
      <c r="J16" s="2">
        <f t="shared" si="2"/>
        <v>0</v>
      </c>
      <c r="L16" s="9">
        <f t="shared" si="0"/>
        <v>0</v>
      </c>
      <c r="N16" s="2">
        <f>L16*([1]assessment!$J$272*[1]assessment!$F$3)</f>
        <v>0</v>
      </c>
      <c r="P16" s="7">
        <f>N16/[1]payroll!$F16</f>
        <v>0</v>
      </c>
      <c r="R16" s="2">
        <f>IF(P16&lt;$R$2,N16,[1]payroll!$F16*$R$2)</f>
        <v>0</v>
      </c>
      <c r="T16" s="10">
        <f t="shared" si="3"/>
        <v>0</v>
      </c>
      <c r="V16" s="1" t="e">
        <f t="shared" si="4"/>
        <v>#DIV/0!</v>
      </c>
    </row>
    <row r="17" spans="1:22">
      <c r="A17" s="1" t="s">
        <v>27</v>
      </c>
      <c r="B17" s="1" t="s">
        <v>502</v>
      </c>
      <c r="C17" s="5">
        <v>0</v>
      </c>
      <c r="D17" s="5">
        <v>0</v>
      </c>
      <c r="E17" s="5">
        <v>0</v>
      </c>
      <c r="F17" s="2"/>
      <c r="G17" s="2">
        <f t="shared" si="1"/>
        <v>0</v>
      </c>
      <c r="H17" s="8">
        <v>1</v>
      </c>
      <c r="J17" s="2">
        <f t="shared" si="2"/>
        <v>0</v>
      </c>
      <c r="L17" s="9">
        <f t="shared" si="0"/>
        <v>0</v>
      </c>
      <c r="N17" s="2">
        <f>L17*([1]assessment!$J$272*[1]assessment!$F$3)</f>
        <v>0</v>
      </c>
      <c r="P17" s="7">
        <f>N17/[1]payroll!$F17</f>
        <v>0</v>
      </c>
      <c r="R17" s="2">
        <f>IF(P17&lt;$R$2,N17,[1]payroll!$F17*$R$2)</f>
        <v>0</v>
      </c>
      <c r="T17" s="10">
        <f t="shared" si="3"/>
        <v>0</v>
      </c>
      <c r="V17" s="1" t="e">
        <f t="shared" si="4"/>
        <v>#DIV/0!</v>
      </c>
    </row>
    <row r="18" spans="1:22">
      <c r="A18" s="1" t="s">
        <v>28</v>
      </c>
      <c r="B18" s="1" t="s">
        <v>503</v>
      </c>
      <c r="C18" s="5">
        <v>0</v>
      </c>
      <c r="D18" s="5">
        <v>752.39</v>
      </c>
      <c r="E18" s="5">
        <v>0</v>
      </c>
      <c r="F18" s="2"/>
      <c r="G18" s="2">
        <f t="shared" si="1"/>
        <v>250.79666666666665</v>
      </c>
      <c r="H18" s="8">
        <v>1</v>
      </c>
      <c r="J18" s="2">
        <f t="shared" si="2"/>
        <v>250.79666666666665</v>
      </c>
      <c r="L18" s="9">
        <f t="shared" si="0"/>
        <v>6.9263691409272331E-6</v>
      </c>
      <c r="N18" s="2">
        <f>L18*([1]assessment!$J$272*[1]assessment!$F$3)</f>
        <v>249.46312533548533</v>
      </c>
      <c r="P18" s="7">
        <f>N18/[1]payroll!$F18</f>
        <v>6.2785137393176266E-5</v>
      </c>
      <c r="R18" s="2">
        <f>IF(P18&lt;$R$2,N18,[1]payroll!$F18*$R$2)</f>
        <v>249.46312533548533</v>
      </c>
      <c r="T18" s="10">
        <f t="shared" si="3"/>
        <v>0</v>
      </c>
      <c r="V18" s="1">
        <f t="shared" si="4"/>
        <v>1</v>
      </c>
    </row>
    <row r="19" spans="1:22">
      <c r="A19" s="1" t="s">
        <v>29</v>
      </c>
      <c r="B19" s="1" t="s">
        <v>504</v>
      </c>
      <c r="C19" s="5">
        <v>0</v>
      </c>
      <c r="D19" s="5">
        <v>0</v>
      </c>
      <c r="E19" s="5">
        <v>0</v>
      </c>
      <c r="F19" s="2"/>
      <c r="G19" s="2">
        <f t="shared" si="1"/>
        <v>0</v>
      </c>
      <c r="H19" s="8">
        <v>1</v>
      </c>
      <c r="J19" s="2">
        <f t="shared" si="2"/>
        <v>0</v>
      </c>
      <c r="L19" s="9">
        <f t="shared" si="0"/>
        <v>0</v>
      </c>
      <c r="N19" s="2">
        <f>L19*([1]assessment!$J$272*[1]assessment!$F$3)</f>
        <v>0</v>
      </c>
      <c r="P19" s="7">
        <f>N19/[1]payroll!$F19</f>
        <v>0</v>
      </c>
      <c r="R19" s="2">
        <f>IF(P19&lt;$R$2,N19,[1]payroll!$F19*$R$2)</f>
        <v>0</v>
      </c>
      <c r="T19" s="10">
        <f t="shared" si="3"/>
        <v>0</v>
      </c>
      <c r="V19" s="1" t="e">
        <f t="shared" si="4"/>
        <v>#DIV/0!</v>
      </c>
    </row>
    <row r="20" spans="1:22">
      <c r="A20" s="1" t="s">
        <v>30</v>
      </c>
      <c r="B20" s="1" t="s">
        <v>505</v>
      </c>
      <c r="C20" s="5">
        <v>0</v>
      </c>
      <c r="D20" s="5">
        <v>0</v>
      </c>
      <c r="E20" s="5">
        <v>0</v>
      </c>
      <c r="F20" s="2"/>
      <c r="G20" s="2">
        <f t="shared" si="1"/>
        <v>0</v>
      </c>
      <c r="H20" s="8">
        <v>1</v>
      </c>
      <c r="J20" s="2">
        <f t="shared" si="2"/>
        <v>0</v>
      </c>
      <c r="L20" s="9">
        <f t="shared" si="0"/>
        <v>0</v>
      </c>
      <c r="N20" s="2">
        <f>L20*([1]assessment!$J$272*[1]assessment!$F$3)</f>
        <v>0</v>
      </c>
      <c r="P20" s="7">
        <f>N20/[1]payroll!$F20</f>
        <v>0</v>
      </c>
      <c r="R20" s="2">
        <f>IF(P20&lt;$R$2,N20,[1]payroll!$F20*$R$2)</f>
        <v>0</v>
      </c>
      <c r="T20" s="10">
        <f t="shared" si="3"/>
        <v>0</v>
      </c>
      <c r="V20" s="1" t="e">
        <f t="shared" si="4"/>
        <v>#DIV/0!</v>
      </c>
    </row>
    <row r="21" spans="1:22">
      <c r="A21" s="1" t="s">
        <v>31</v>
      </c>
      <c r="B21" s="1" t="s">
        <v>506</v>
      </c>
      <c r="C21" s="5">
        <v>0</v>
      </c>
      <c r="D21" s="5">
        <v>0</v>
      </c>
      <c r="E21" s="5">
        <v>0</v>
      </c>
      <c r="F21" s="2"/>
      <c r="G21" s="2">
        <f t="shared" si="1"/>
        <v>0</v>
      </c>
      <c r="H21" s="8">
        <v>1</v>
      </c>
      <c r="J21" s="2">
        <f t="shared" si="2"/>
        <v>0</v>
      </c>
      <c r="L21" s="9">
        <f t="shared" si="0"/>
        <v>0</v>
      </c>
      <c r="N21" s="2">
        <f>L21*([1]assessment!$J$272*[1]assessment!$F$3)</f>
        <v>0</v>
      </c>
      <c r="P21" s="7">
        <f>N21/[1]payroll!$F21</f>
        <v>0</v>
      </c>
      <c r="R21" s="2">
        <f>IF(P21&lt;$R$2,N21,[1]payroll!$F21*$R$2)</f>
        <v>0</v>
      </c>
      <c r="T21" s="10">
        <f t="shared" si="3"/>
        <v>0</v>
      </c>
      <c r="V21" s="1" t="e">
        <f t="shared" si="4"/>
        <v>#DIV/0!</v>
      </c>
    </row>
    <row r="22" spans="1:22">
      <c r="A22" s="1" t="s">
        <v>32</v>
      </c>
      <c r="B22" s="1" t="s">
        <v>507</v>
      </c>
      <c r="C22" s="5">
        <v>0</v>
      </c>
      <c r="D22" s="5">
        <v>0</v>
      </c>
      <c r="E22" s="5">
        <v>0</v>
      </c>
      <c r="F22" s="2"/>
      <c r="G22" s="2">
        <f t="shared" si="1"/>
        <v>0</v>
      </c>
      <c r="H22" s="8">
        <v>1</v>
      </c>
      <c r="J22" s="2">
        <f t="shared" si="2"/>
        <v>0</v>
      </c>
      <c r="L22" s="9">
        <f t="shared" si="0"/>
        <v>0</v>
      </c>
      <c r="N22" s="2">
        <f>L22*([1]assessment!$J$272*[1]assessment!$F$3)</f>
        <v>0</v>
      </c>
      <c r="P22" s="7">
        <f>N22/[1]payroll!$F22</f>
        <v>0</v>
      </c>
      <c r="R22" s="2">
        <f>IF(P22&lt;$R$2,N22,[1]payroll!$F22*$R$2)</f>
        <v>0</v>
      </c>
      <c r="T22" s="10">
        <f t="shared" si="3"/>
        <v>0</v>
      </c>
      <c r="V22" s="1" t="e">
        <f t="shared" si="4"/>
        <v>#DIV/0!</v>
      </c>
    </row>
    <row r="23" spans="1:22">
      <c r="A23" s="1" t="s">
        <v>33</v>
      </c>
      <c r="B23" s="1" t="s">
        <v>508</v>
      </c>
      <c r="C23" s="5">
        <v>0</v>
      </c>
      <c r="D23" s="5">
        <v>0</v>
      </c>
      <c r="E23" s="5">
        <v>0</v>
      </c>
      <c r="F23" s="2"/>
      <c r="G23" s="2">
        <f t="shared" si="1"/>
        <v>0</v>
      </c>
      <c r="H23" s="8">
        <v>1</v>
      </c>
      <c r="J23" s="2">
        <f t="shared" si="2"/>
        <v>0</v>
      </c>
      <c r="L23" s="9">
        <f t="shared" si="0"/>
        <v>0</v>
      </c>
      <c r="N23" s="2">
        <f>L23*([1]assessment!$J$272*[1]assessment!$F$3)</f>
        <v>0</v>
      </c>
      <c r="P23" s="7">
        <f>N23/[1]payroll!$F23</f>
        <v>0</v>
      </c>
      <c r="R23" s="2">
        <f>IF(P23&lt;$R$2,N23,[1]payroll!$F23*$R$2)</f>
        <v>0</v>
      </c>
      <c r="T23" s="10">
        <f t="shared" si="3"/>
        <v>0</v>
      </c>
      <c r="V23" s="1" t="e">
        <f t="shared" si="4"/>
        <v>#DIV/0!</v>
      </c>
    </row>
    <row r="24" spans="1:22">
      <c r="A24" s="1" t="s">
        <v>34</v>
      </c>
      <c r="B24" s="1" t="s">
        <v>509</v>
      </c>
      <c r="C24" s="5">
        <v>0</v>
      </c>
      <c r="D24" s="5">
        <v>0</v>
      </c>
      <c r="E24" s="5">
        <v>0</v>
      </c>
      <c r="F24" s="2"/>
      <c r="G24" s="2">
        <f t="shared" si="1"/>
        <v>0</v>
      </c>
      <c r="H24" s="8">
        <v>1</v>
      </c>
      <c r="J24" s="2">
        <f t="shared" si="2"/>
        <v>0</v>
      </c>
      <c r="L24" s="9">
        <f t="shared" si="0"/>
        <v>0</v>
      </c>
      <c r="N24" s="2">
        <f>L24*([1]assessment!$J$272*[1]assessment!$F$3)</f>
        <v>0</v>
      </c>
      <c r="P24" s="7">
        <f>N24/[1]payroll!$F24</f>
        <v>0</v>
      </c>
      <c r="R24" s="2">
        <f>IF(P24&lt;$R$2,N24,[1]payroll!$F24*$R$2)</f>
        <v>0</v>
      </c>
      <c r="T24" s="10">
        <f t="shared" si="3"/>
        <v>0</v>
      </c>
      <c r="V24" s="1" t="e">
        <f t="shared" si="4"/>
        <v>#DIV/0!</v>
      </c>
    </row>
    <row r="25" spans="1:22">
      <c r="A25" s="1" t="s">
        <v>35</v>
      </c>
      <c r="B25" s="1" t="s">
        <v>510</v>
      </c>
      <c r="C25" s="5">
        <v>0</v>
      </c>
      <c r="D25" s="5">
        <v>625</v>
      </c>
      <c r="E25" s="5">
        <v>0</v>
      </c>
      <c r="F25" s="2"/>
      <c r="G25" s="2">
        <f t="shared" si="1"/>
        <v>208.33333333333334</v>
      </c>
      <c r="H25" s="8">
        <v>1</v>
      </c>
      <c r="J25" s="2">
        <f t="shared" si="2"/>
        <v>208.33333333333334</v>
      </c>
      <c r="L25" s="9">
        <f t="shared" si="0"/>
        <v>5.7536393533666333E-6</v>
      </c>
      <c r="N25" s="2">
        <f>L25*([1]assessment!$J$272*[1]assessment!$F$3)</f>
        <v>207.22557893469923</v>
      </c>
      <c r="P25" s="7">
        <f>N25/[1]payroll!$F25</f>
        <v>1.0813946070226199E-4</v>
      </c>
      <c r="R25" s="2">
        <f>IF(P25&lt;$R$2,N25,[1]payroll!$F25*$R$2)</f>
        <v>207.22557893469923</v>
      </c>
      <c r="T25" s="10">
        <f t="shared" si="3"/>
        <v>0</v>
      </c>
      <c r="V25" s="1">
        <f t="shared" si="4"/>
        <v>1</v>
      </c>
    </row>
    <row r="26" spans="1:22">
      <c r="A26" s="1" t="s">
        <v>36</v>
      </c>
      <c r="B26" s="1" t="s">
        <v>511</v>
      </c>
      <c r="C26" s="5">
        <v>0</v>
      </c>
      <c r="D26" s="5">
        <v>0</v>
      </c>
      <c r="E26" s="5">
        <v>0</v>
      </c>
      <c r="F26" s="2"/>
      <c r="G26" s="2">
        <f t="shared" si="1"/>
        <v>0</v>
      </c>
      <c r="H26" s="8">
        <v>1</v>
      </c>
      <c r="J26" s="2">
        <f t="shared" si="2"/>
        <v>0</v>
      </c>
      <c r="L26" s="9">
        <f t="shared" si="0"/>
        <v>0</v>
      </c>
      <c r="N26" s="2">
        <f>L26*([1]assessment!$J$272*[1]assessment!$F$3)</f>
        <v>0</v>
      </c>
      <c r="P26" s="7">
        <f>N26/[1]payroll!$F26</f>
        <v>0</v>
      </c>
      <c r="R26" s="2">
        <f>IF(P26&lt;$R$2,N26,[1]payroll!$F26*$R$2)</f>
        <v>0</v>
      </c>
      <c r="T26" s="10">
        <f t="shared" si="3"/>
        <v>0</v>
      </c>
      <c r="V26" s="1" t="e">
        <f t="shared" si="4"/>
        <v>#DIV/0!</v>
      </c>
    </row>
    <row r="27" spans="1:22">
      <c r="A27" s="1" t="s">
        <v>37</v>
      </c>
      <c r="B27" s="1" t="s">
        <v>512</v>
      </c>
      <c r="C27" s="5">
        <v>0</v>
      </c>
      <c r="D27" s="5">
        <v>0</v>
      </c>
      <c r="E27" s="5">
        <v>0</v>
      </c>
      <c r="F27" s="2"/>
      <c r="G27" s="2">
        <f t="shared" si="1"/>
        <v>0</v>
      </c>
      <c r="H27" s="8">
        <v>1</v>
      </c>
      <c r="J27" s="2">
        <f t="shared" si="2"/>
        <v>0</v>
      </c>
      <c r="L27" s="9">
        <f t="shared" si="0"/>
        <v>0</v>
      </c>
      <c r="N27" s="2">
        <f>L27*([1]assessment!$J$272*[1]assessment!$F$3)</f>
        <v>0</v>
      </c>
      <c r="P27" s="7">
        <f>N27/[1]payroll!$F27</f>
        <v>0</v>
      </c>
      <c r="R27" s="2">
        <f>IF(P27&lt;$R$2,N27,[1]payroll!$F27*$R$2)</f>
        <v>0</v>
      </c>
      <c r="T27" s="10">
        <f t="shared" si="3"/>
        <v>0</v>
      </c>
      <c r="V27" s="1" t="e">
        <f t="shared" si="4"/>
        <v>#DIV/0!</v>
      </c>
    </row>
    <row r="28" spans="1:22">
      <c r="A28" s="1" t="s">
        <v>38</v>
      </c>
      <c r="B28" s="1" t="s">
        <v>513</v>
      </c>
      <c r="C28" s="5">
        <v>0</v>
      </c>
      <c r="D28" s="5">
        <v>0</v>
      </c>
      <c r="E28" s="5">
        <v>0</v>
      </c>
      <c r="F28" s="2"/>
      <c r="G28" s="2">
        <f t="shared" si="1"/>
        <v>0</v>
      </c>
      <c r="H28" s="8">
        <v>1</v>
      </c>
      <c r="J28" s="2">
        <f t="shared" si="2"/>
        <v>0</v>
      </c>
      <c r="L28" s="9">
        <f t="shared" si="0"/>
        <v>0</v>
      </c>
      <c r="N28" s="2">
        <f>L28*([1]assessment!$J$272*[1]assessment!$F$3)</f>
        <v>0</v>
      </c>
      <c r="P28" s="7">
        <f>N28/[1]payroll!$F28</f>
        <v>0</v>
      </c>
      <c r="R28" s="2">
        <f>IF(P28&lt;$R$2,N28,[1]payroll!$F28*$R$2)</f>
        <v>0</v>
      </c>
      <c r="T28" s="10">
        <f t="shared" si="3"/>
        <v>0</v>
      </c>
      <c r="V28" s="1" t="e">
        <f t="shared" si="4"/>
        <v>#DIV/0!</v>
      </c>
    </row>
    <row r="29" spans="1:22">
      <c r="A29" s="1" t="s">
        <v>39</v>
      </c>
      <c r="B29" s="1" t="s">
        <v>514</v>
      </c>
      <c r="C29" s="5">
        <v>0</v>
      </c>
      <c r="D29" s="5">
        <v>0</v>
      </c>
      <c r="E29" s="5">
        <v>0</v>
      </c>
      <c r="F29" s="2"/>
      <c r="G29" s="2">
        <f t="shared" si="1"/>
        <v>0</v>
      </c>
      <c r="H29" s="8">
        <v>1</v>
      </c>
      <c r="J29" s="2">
        <f t="shared" si="2"/>
        <v>0</v>
      </c>
      <c r="L29" s="9">
        <f t="shared" si="0"/>
        <v>0</v>
      </c>
      <c r="N29" s="2">
        <f>L29*([1]assessment!$J$272*[1]assessment!$F$3)</f>
        <v>0</v>
      </c>
      <c r="P29" s="7">
        <f>N29/[1]payroll!$F29</f>
        <v>0</v>
      </c>
      <c r="R29" s="2">
        <f>IF(P29&lt;$R$2,N29,[1]payroll!$F29*$R$2)</f>
        <v>0</v>
      </c>
      <c r="T29" s="10">
        <f t="shared" si="3"/>
        <v>0</v>
      </c>
      <c r="V29" s="1" t="e">
        <f t="shared" si="4"/>
        <v>#DIV/0!</v>
      </c>
    </row>
    <row r="30" spans="1:22">
      <c r="A30" s="1" t="s">
        <v>40</v>
      </c>
      <c r="B30" s="1" t="s">
        <v>515</v>
      </c>
      <c r="C30" s="5">
        <v>0</v>
      </c>
      <c r="D30" s="5">
        <v>0</v>
      </c>
      <c r="E30" s="5">
        <v>0</v>
      </c>
      <c r="F30" s="2"/>
      <c r="G30" s="2">
        <f t="shared" si="1"/>
        <v>0</v>
      </c>
      <c r="H30" s="8">
        <v>1</v>
      </c>
      <c r="J30" s="2">
        <f t="shared" si="2"/>
        <v>0</v>
      </c>
      <c r="L30" s="9">
        <f t="shared" si="0"/>
        <v>0</v>
      </c>
      <c r="N30" s="2">
        <f>L30*([1]assessment!$J$272*[1]assessment!$F$3)</f>
        <v>0</v>
      </c>
      <c r="P30" s="7">
        <f>N30/[1]payroll!$F30</f>
        <v>0</v>
      </c>
      <c r="R30" s="2">
        <f>IF(P30&lt;$R$2,N30,[1]payroll!$F30*$R$2)</f>
        <v>0</v>
      </c>
      <c r="T30" s="10">
        <f t="shared" si="3"/>
        <v>0</v>
      </c>
      <c r="V30" s="1" t="e">
        <f t="shared" si="4"/>
        <v>#DIV/0!</v>
      </c>
    </row>
    <row r="31" spans="1:22">
      <c r="A31" s="48" t="s">
        <v>587</v>
      </c>
      <c r="B31" s="48" t="s">
        <v>588</v>
      </c>
      <c r="C31" s="5">
        <v>0</v>
      </c>
      <c r="D31" s="5">
        <v>0</v>
      </c>
      <c r="E31" s="5">
        <v>0</v>
      </c>
      <c r="F31" s="2"/>
      <c r="G31" s="2">
        <f t="shared" si="1"/>
        <v>0</v>
      </c>
      <c r="H31" s="8">
        <v>1</v>
      </c>
      <c r="J31" s="2">
        <f t="shared" si="2"/>
        <v>0</v>
      </c>
      <c r="L31" s="9">
        <f t="shared" si="0"/>
        <v>0</v>
      </c>
      <c r="N31" s="2">
        <f>L31*([1]assessment!$J$272*[1]assessment!$F$3)</f>
        <v>0</v>
      </c>
      <c r="P31" s="7">
        <f>N31/[1]payroll!$F31</f>
        <v>0</v>
      </c>
      <c r="R31" s="2">
        <f>IF(P31&lt;$R$2,N31,[1]payroll!$F31*$R$2)</f>
        <v>0</v>
      </c>
      <c r="T31" s="10">
        <f t="shared" si="3"/>
        <v>0</v>
      </c>
    </row>
    <row r="32" spans="1:22">
      <c r="A32" s="1" t="s">
        <v>41</v>
      </c>
      <c r="B32" s="1" t="s">
        <v>516</v>
      </c>
      <c r="C32" s="5">
        <v>782838.61</v>
      </c>
      <c r="D32" s="5">
        <v>1149804.6100000001</v>
      </c>
      <c r="E32" s="5">
        <v>3427637.69</v>
      </c>
      <c r="F32" s="2"/>
      <c r="G32" s="2">
        <f t="shared" si="1"/>
        <v>1786760.3033333335</v>
      </c>
      <c r="H32" s="8">
        <v>1</v>
      </c>
      <c r="J32" s="2">
        <f t="shared" si="2"/>
        <v>1786760.3033333335</v>
      </c>
      <c r="L32" s="9">
        <f t="shared" si="0"/>
        <v>4.9345797102201452E-2</v>
      </c>
      <c r="N32" s="2">
        <f>L32*([1]assessment!$J$272*[1]assessment!$F$3)</f>
        <v>1777259.7037237862</v>
      </c>
      <c r="P32" s="7">
        <f>N32/[1]payroll!$F32</f>
        <v>1.6691940331906286E-2</v>
      </c>
      <c r="R32" s="2">
        <f>IF(P32&lt;$R$2,N32,[1]payroll!$F32*$R$2)</f>
        <v>1777259.7037237862</v>
      </c>
      <c r="T32" s="10">
        <f>+N32-R32</f>
        <v>0</v>
      </c>
      <c r="V32" s="1">
        <f t="shared" si="4"/>
        <v>1</v>
      </c>
    </row>
    <row r="33" spans="1:22">
      <c r="A33" s="1" t="s">
        <v>42</v>
      </c>
      <c r="B33" s="1" t="s">
        <v>43</v>
      </c>
      <c r="C33" s="5">
        <v>0</v>
      </c>
      <c r="D33" s="5">
        <v>0</v>
      </c>
      <c r="E33" s="5">
        <v>0</v>
      </c>
      <c r="F33" s="2"/>
      <c r="G33" s="2">
        <f t="shared" si="1"/>
        <v>0</v>
      </c>
      <c r="H33" s="8">
        <v>1</v>
      </c>
      <c r="J33" s="2">
        <f t="shared" si="2"/>
        <v>0</v>
      </c>
      <c r="L33" s="9">
        <f t="shared" si="0"/>
        <v>0</v>
      </c>
      <c r="N33" s="2">
        <f>L33*([1]assessment!$J$272*[1]assessment!$F$3)</f>
        <v>0</v>
      </c>
      <c r="P33" s="7">
        <f>N33/[1]payroll!$F33</f>
        <v>0</v>
      </c>
      <c r="R33" s="2">
        <f>IF(P33&lt;$R$2,N33,[1]payroll!$F33*$R$2)</f>
        <v>0</v>
      </c>
      <c r="T33" s="10">
        <f t="shared" si="3"/>
        <v>0</v>
      </c>
      <c r="V33" s="1" t="e">
        <f t="shared" si="4"/>
        <v>#DIV/0!</v>
      </c>
    </row>
    <row r="34" spans="1:22">
      <c r="A34" s="1" t="s">
        <v>44</v>
      </c>
      <c r="B34" s="1" t="s">
        <v>45</v>
      </c>
      <c r="C34" s="5">
        <v>0</v>
      </c>
      <c r="D34" s="5">
        <v>0</v>
      </c>
      <c r="E34" s="5">
        <v>0</v>
      </c>
      <c r="F34" s="2"/>
      <c r="G34" s="2">
        <f t="shared" si="1"/>
        <v>0</v>
      </c>
      <c r="H34" s="8">
        <v>1</v>
      </c>
      <c r="J34" s="2">
        <f t="shared" si="2"/>
        <v>0</v>
      </c>
      <c r="L34" s="9">
        <f t="shared" si="0"/>
        <v>0</v>
      </c>
      <c r="N34" s="2">
        <f>L34*([1]assessment!$J$272*[1]assessment!$F$3)</f>
        <v>0</v>
      </c>
      <c r="P34" s="7">
        <f>N34/[1]payroll!$F34</f>
        <v>0</v>
      </c>
      <c r="R34" s="2">
        <f>IF(P34&lt;$R$2,N34,[1]payroll!$F34*$R$2)</f>
        <v>0</v>
      </c>
      <c r="T34" s="10">
        <f t="shared" si="3"/>
        <v>0</v>
      </c>
      <c r="V34" s="1" t="e">
        <f t="shared" si="4"/>
        <v>#DIV/0!</v>
      </c>
    </row>
    <row r="35" spans="1:22">
      <c r="A35" s="1" t="s">
        <v>46</v>
      </c>
      <c r="B35" s="1" t="s">
        <v>47</v>
      </c>
      <c r="C35" s="5">
        <v>535.4</v>
      </c>
      <c r="D35" s="5">
        <v>0</v>
      </c>
      <c r="E35" s="5">
        <v>0</v>
      </c>
      <c r="F35" s="2"/>
      <c r="G35" s="2">
        <f t="shared" si="1"/>
        <v>178.46666666666667</v>
      </c>
      <c r="H35" s="8">
        <v>1</v>
      </c>
      <c r="J35" s="2">
        <f t="shared" si="2"/>
        <v>178.46666666666667</v>
      </c>
      <c r="L35" s="9">
        <f t="shared" si="0"/>
        <v>4.9287976156679927E-6</v>
      </c>
      <c r="N35" s="2">
        <f>L35*([1]assessment!$J$272*[1]assessment!$F$3)</f>
        <v>177.51771993862073</v>
      </c>
      <c r="P35" s="7">
        <f>N35/[1]payroll!$F35</f>
        <v>7.0264518361341528E-6</v>
      </c>
      <c r="R35" s="2">
        <f>IF(P35&lt;$R$2,N35,[1]payroll!$F35*$R$2)</f>
        <v>177.51771993862073</v>
      </c>
      <c r="T35" s="10">
        <f t="shared" si="3"/>
        <v>0</v>
      </c>
      <c r="V35" s="1">
        <f t="shared" si="4"/>
        <v>1</v>
      </c>
    </row>
    <row r="36" spans="1:22">
      <c r="A36" s="1" t="s">
        <v>48</v>
      </c>
      <c r="B36" s="1" t="s">
        <v>49</v>
      </c>
      <c r="C36" s="5">
        <v>110828.24</v>
      </c>
      <c r="D36" s="5">
        <v>68744.350000000006</v>
      </c>
      <c r="E36" s="5">
        <v>35525.65</v>
      </c>
      <c r="F36" s="2"/>
      <c r="G36" s="2">
        <f t="shared" si="1"/>
        <v>71699.413333333345</v>
      </c>
      <c r="H36" s="8">
        <v>1</v>
      </c>
      <c r="J36" s="2">
        <f t="shared" si="2"/>
        <v>71699.413333333345</v>
      </c>
      <c r="L36" s="9">
        <f t="shared" si="0"/>
        <v>1.9801563176062415E-3</v>
      </c>
      <c r="N36" s="2">
        <f>L36*([1]assessment!$J$272*[1]assessment!$F$3)</f>
        <v>71318.17169893581</v>
      </c>
      <c r="P36" s="7">
        <f>N36/[1]payroll!$F36</f>
        <v>2.6499569382638829E-4</v>
      </c>
      <c r="R36" s="2">
        <f>IF(P36&lt;$R$2,N36,[1]payroll!$F36*$R$2)</f>
        <v>71318.17169893581</v>
      </c>
      <c r="T36" s="10">
        <f t="shared" si="3"/>
        <v>0</v>
      </c>
      <c r="V36" s="1">
        <f t="shared" si="4"/>
        <v>1</v>
      </c>
    </row>
    <row r="37" spans="1:22">
      <c r="A37" s="1" t="s">
        <v>50</v>
      </c>
      <c r="B37" s="1" t="s">
        <v>485</v>
      </c>
      <c r="C37" s="5">
        <v>78019.31</v>
      </c>
      <c r="D37" s="5">
        <v>59867.38</v>
      </c>
      <c r="E37" s="5">
        <v>55923.78</v>
      </c>
      <c r="F37" s="2"/>
      <c r="G37" s="2">
        <f t="shared" si="1"/>
        <v>64603.49</v>
      </c>
      <c r="H37" s="8">
        <v>1</v>
      </c>
      <c r="J37" s="2">
        <f t="shared" si="2"/>
        <v>64603.49</v>
      </c>
      <c r="L37" s="9">
        <f t="shared" si="0"/>
        <v>1.7841848756583731E-3</v>
      </c>
      <c r="N37" s="2">
        <f>L37*([1]assessment!$J$272*[1]assessment!$F$3)</f>
        <v>64259.978958969848</v>
      </c>
      <c r="P37" s="7">
        <f>N37/[1]payroll!$F37</f>
        <v>2.4887442733975782E-3</v>
      </c>
      <c r="R37" s="2">
        <f>IF(P37&lt;$R$2,N37,[1]payroll!$F37*$R$2)</f>
        <v>64259.978958969848</v>
      </c>
      <c r="T37" s="10">
        <f t="shared" si="3"/>
        <v>0</v>
      </c>
      <c r="V37" s="1">
        <f t="shared" si="4"/>
        <v>1</v>
      </c>
    </row>
    <row r="38" spans="1:22">
      <c r="A38" s="1" t="s">
        <v>51</v>
      </c>
      <c r="B38" s="1" t="s">
        <v>52</v>
      </c>
      <c r="C38" s="5">
        <v>101465.2</v>
      </c>
      <c r="D38" s="5">
        <v>70789.27</v>
      </c>
      <c r="E38" s="5">
        <v>55185.35</v>
      </c>
      <c r="F38" s="2"/>
      <c r="G38" s="2">
        <f t="shared" si="1"/>
        <v>75813.273333333331</v>
      </c>
      <c r="H38" s="8">
        <v>1</v>
      </c>
      <c r="J38" s="2">
        <f t="shared" si="2"/>
        <v>75813.273333333331</v>
      </c>
      <c r="L38" s="9">
        <f t="shared" si="0"/>
        <v>2.0937707181993971E-3</v>
      </c>
      <c r="N38" s="2">
        <f>L38*([1]assessment!$J$272*[1]assessment!$F$3)</f>
        <v>75410.157395686037</v>
      </c>
      <c r="P38" s="7">
        <f>N38/[1]payroll!$F38</f>
        <v>3.6846341363360444E-4</v>
      </c>
      <c r="R38" s="2">
        <f>IF(P38&lt;$R$2,N38,[1]payroll!$F38*$R$2)</f>
        <v>75410.157395686037</v>
      </c>
      <c r="T38" s="10">
        <f t="shared" si="3"/>
        <v>0</v>
      </c>
      <c r="V38" s="1">
        <f t="shared" si="4"/>
        <v>1</v>
      </c>
    </row>
    <row r="39" spans="1:22">
      <c r="A39" s="1" t="s">
        <v>53</v>
      </c>
      <c r="B39" s="1" t="s">
        <v>54</v>
      </c>
      <c r="C39" s="5">
        <v>1389.94</v>
      </c>
      <c r="D39" s="5">
        <v>4763.45</v>
      </c>
      <c r="E39" s="5">
        <v>484.22</v>
      </c>
      <c r="F39" s="2"/>
      <c r="G39" s="2">
        <f t="shared" si="1"/>
        <v>2212.5366666666664</v>
      </c>
      <c r="H39" s="8">
        <v>1</v>
      </c>
      <c r="J39" s="2">
        <f t="shared" si="2"/>
        <v>2212.5366666666664</v>
      </c>
      <c r="L39" s="9">
        <f t="shared" si="0"/>
        <v>6.1104662573279828E-5</v>
      </c>
      <c r="N39" s="2">
        <f>L39*([1]assessment!$J$272*[1]assessment!$F$3)</f>
        <v>2200.7721199883977</v>
      </c>
      <c r="P39" s="7">
        <f>N39/[1]payroll!$F39</f>
        <v>3.1965745169419465E-5</v>
      </c>
      <c r="R39" s="2">
        <f>IF(P39&lt;$R$2,N39,[1]payroll!$F39*$R$2)</f>
        <v>2200.7721199883977</v>
      </c>
      <c r="T39" s="10">
        <f t="shared" si="3"/>
        <v>0</v>
      </c>
      <c r="V39" s="1">
        <f t="shared" si="4"/>
        <v>1</v>
      </c>
    </row>
    <row r="40" spans="1:22">
      <c r="A40" s="1" t="s">
        <v>55</v>
      </c>
      <c r="B40" s="1" t="s">
        <v>56</v>
      </c>
      <c r="C40" s="5">
        <v>1171.48</v>
      </c>
      <c r="D40" s="5">
        <v>2686.25</v>
      </c>
      <c r="E40" s="5">
        <v>2629.79</v>
      </c>
      <c r="F40" s="2"/>
      <c r="G40" s="2">
        <f t="shared" si="1"/>
        <v>2162.5066666666667</v>
      </c>
      <c r="H40" s="8">
        <v>1</v>
      </c>
      <c r="J40" s="2">
        <f t="shared" si="2"/>
        <v>2162.5066666666667</v>
      </c>
      <c r="L40" s="9">
        <f t="shared" si="0"/>
        <v>5.9722960604404955E-5</v>
      </c>
      <c r="N40" s="2">
        <f>L40*([1]assessment!$J$272*[1]assessment!$F$3)</f>
        <v>2151.0081405607039</v>
      </c>
      <c r="P40" s="7">
        <f>N40/[1]payroll!$F40</f>
        <v>2.4002752445360373E-4</v>
      </c>
      <c r="R40" s="2">
        <f>IF(P40&lt;$R$2,N40,[1]payroll!$F40*$R$2)</f>
        <v>2151.0081405607039</v>
      </c>
      <c r="T40" s="10">
        <f t="shared" si="3"/>
        <v>0</v>
      </c>
      <c r="V40" s="1">
        <f t="shared" si="4"/>
        <v>1</v>
      </c>
    </row>
    <row r="41" spans="1:22">
      <c r="A41" s="1" t="s">
        <v>57</v>
      </c>
      <c r="B41" s="1" t="s">
        <v>58</v>
      </c>
      <c r="C41" s="5">
        <v>11363.78</v>
      </c>
      <c r="D41" s="5">
        <v>730.6</v>
      </c>
      <c r="E41" s="5">
        <v>0</v>
      </c>
      <c r="F41" s="2"/>
      <c r="G41" s="2">
        <f t="shared" si="1"/>
        <v>4031.4600000000005</v>
      </c>
      <c r="H41" s="8">
        <v>1</v>
      </c>
      <c r="J41" s="2">
        <f t="shared" si="2"/>
        <v>4031.4600000000005</v>
      </c>
      <c r="L41" s="9">
        <f t="shared" si="0"/>
        <v>1.1133872115611255E-4</v>
      </c>
      <c r="N41" s="2">
        <f>L41*([1]assessment!$J$272*[1]assessment!$F$3)</f>
        <v>4010.0238357699964</v>
      </c>
      <c r="P41" s="7">
        <f>N41/[1]payroll!$F41</f>
        <v>2.7633895871419895E-4</v>
      </c>
      <c r="R41" s="2">
        <f>IF(P41&lt;$R$2,N41,[1]payroll!$F41*$R$2)</f>
        <v>4010.0238357699964</v>
      </c>
      <c r="T41" s="10">
        <f t="shared" si="3"/>
        <v>0</v>
      </c>
      <c r="V41" s="1">
        <f t="shared" si="4"/>
        <v>1</v>
      </c>
    </row>
    <row r="42" spans="1:22">
      <c r="A42" s="1" t="s">
        <v>59</v>
      </c>
      <c r="B42" s="1" t="s">
        <v>60</v>
      </c>
      <c r="C42" s="5">
        <v>0</v>
      </c>
      <c r="D42" s="5">
        <v>0</v>
      </c>
      <c r="E42" s="5">
        <v>3486.35</v>
      </c>
      <c r="F42" s="2"/>
      <c r="G42" s="2">
        <f t="shared" si="1"/>
        <v>1162.1166666666666</v>
      </c>
      <c r="H42" s="8">
        <v>1</v>
      </c>
      <c r="J42" s="2">
        <f t="shared" si="2"/>
        <v>1162.1166666666666</v>
      </c>
      <c r="L42" s="9">
        <f t="shared" si="0"/>
        <v>3.2094720895375616E-5</v>
      </c>
      <c r="N42" s="2">
        <f>L42*([1]assessment!$J$272*[1]assessment!$F$3)</f>
        <v>1155.9374353903818</v>
      </c>
      <c r="P42" s="7">
        <f>N42/[1]payroll!$F42</f>
        <v>6.8290809113758861E-5</v>
      </c>
      <c r="R42" s="2">
        <f>IF(P42&lt;$R$2,N42,[1]payroll!$F42*$R$2)</f>
        <v>1155.9374353903818</v>
      </c>
      <c r="T42" s="10">
        <f t="shared" si="3"/>
        <v>0</v>
      </c>
      <c r="V42" s="1">
        <f t="shared" si="4"/>
        <v>1</v>
      </c>
    </row>
    <row r="43" spans="1:22">
      <c r="A43" s="1" t="s">
        <v>61</v>
      </c>
      <c r="B43" s="1" t="s">
        <v>517</v>
      </c>
      <c r="C43" s="5">
        <v>0</v>
      </c>
      <c r="D43" s="5">
        <v>0</v>
      </c>
      <c r="E43" s="5">
        <v>0</v>
      </c>
      <c r="F43" s="2"/>
      <c r="G43" s="2">
        <f t="shared" si="1"/>
        <v>0</v>
      </c>
      <c r="H43" s="8">
        <v>1</v>
      </c>
      <c r="J43" s="2">
        <f t="shared" si="2"/>
        <v>0</v>
      </c>
      <c r="L43" s="9">
        <f t="shared" si="0"/>
        <v>0</v>
      </c>
      <c r="N43" s="2">
        <f>L43*([1]assessment!$J$272*[1]assessment!$F$3)</f>
        <v>0</v>
      </c>
      <c r="P43" s="7">
        <f>N43/[1]payroll!$F43</f>
        <v>0</v>
      </c>
      <c r="R43" s="2">
        <f>IF(P43&lt;$R$2,N43,[1]payroll!$F43*$R$2)</f>
        <v>0</v>
      </c>
      <c r="T43" s="10">
        <f t="shared" si="3"/>
        <v>0</v>
      </c>
      <c r="V43" s="1" t="e">
        <f t="shared" si="4"/>
        <v>#DIV/0!</v>
      </c>
    </row>
    <row r="44" spans="1:22">
      <c r="A44" s="1" t="s">
        <v>62</v>
      </c>
      <c r="B44" s="1" t="s">
        <v>63</v>
      </c>
      <c r="C44" s="5">
        <v>0</v>
      </c>
      <c r="D44" s="5">
        <v>0</v>
      </c>
      <c r="E44" s="5">
        <v>328.51</v>
      </c>
      <c r="F44" s="2"/>
      <c r="G44" s="2">
        <f t="shared" si="1"/>
        <v>109.50333333333333</v>
      </c>
      <c r="H44" s="8">
        <v>1</v>
      </c>
      <c r="J44" s="2">
        <f t="shared" si="2"/>
        <v>109.50333333333333</v>
      </c>
      <c r="L44" s="9">
        <f t="shared" si="0"/>
        <v>3.0242049023591559E-6</v>
      </c>
      <c r="N44" s="2">
        <f>L44*([1]assessment!$J$272*[1]assessment!$F$3)</f>
        <v>108.92107989734086</v>
      </c>
      <c r="P44" s="7">
        <f>N44/[1]payroll!$F44</f>
        <v>4.7593968336049064E-6</v>
      </c>
      <c r="R44" s="2">
        <f>IF(P44&lt;$R$2,N44,[1]payroll!$F44*$R$2)</f>
        <v>108.92107989734086</v>
      </c>
      <c r="T44" s="10">
        <f t="shared" si="3"/>
        <v>0</v>
      </c>
      <c r="V44" s="1">
        <f t="shared" si="4"/>
        <v>1</v>
      </c>
    </row>
    <row r="45" spans="1:22">
      <c r="A45" s="1" t="s">
        <v>64</v>
      </c>
      <c r="B45" s="1" t="s">
        <v>518</v>
      </c>
      <c r="C45" s="5">
        <f>125448.5+3422.9</f>
        <v>128871.4</v>
      </c>
      <c r="D45" s="5">
        <v>164371.79999999999</v>
      </c>
      <c r="E45" s="5">
        <v>410835.94</v>
      </c>
      <c r="F45" s="2"/>
      <c r="G45" s="2">
        <f t="shared" si="1"/>
        <v>234693.04666666663</v>
      </c>
      <c r="H45" s="8">
        <v>1</v>
      </c>
      <c r="J45" s="2">
        <f t="shared" si="2"/>
        <v>234693.04666666663</v>
      </c>
      <c r="L45" s="9">
        <f t="shared" si="0"/>
        <v>6.4816279164616551E-3</v>
      </c>
      <c r="N45" s="2">
        <f>L45*([1]assessment!$J$272*[1]assessment!$F$3)</f>
        <v>233445.13184375217</v>
      </c>
      <c r="P45" s="7">
        <f>N45/[1]payroll!$F45</f>
        <v>9.0435431273891691E-4</v>
      </c>
      <c r="R45" s="2">
        <f>IF(P45&lt;$R$2,N45,[1]payroll!$F45*$R$2)</f>
        <v>233445.13184375217</v>
      </c>
      <c r="T45" s="10">
        <f t="shared" si="3"/>
        <v>0</v>
      </c>
      <c r="V45" s="1">
        <f t="shared" si="4"/>
        <v>1</v>
      </c>
    </row>
    <row r="46" spans="1:22">
      <c r="A46" s="1" t="s">
        <v>538</v>
      </c>
      <c r="B46" s="1" t="s">
        <v>539</v>
      </c>
      <c r="C46" s="5">
        <v>0</v>
      </c>
      <c r="D46" s="5">
        <v>0</v>
      </c>
      <c r="E46" s="5">
        <v>0</v>
      </c>
      <c r="F46" s="2"/>
      <c r="G46" s="2">
        <f t="shared" si="1"/>
        <v>0</v>
      </c>
      <c r="H46" s="8">
        <v>1</v>
      </c>
      <c r="J46" s="2">
        <f t="shared" si="2"/>
        <v>0</v>
      </c>
      <c r="L46" s="9">
        <f t="shared" si="0"/>
        <v>0</v>
      </c>
      <c r="N46" s="2">
        <f>L46*([1]assessment!$J$272*[1]assessment!$F$3)</f>
        <v>0</v>
      </c>
      <c r="P46" s="7">
        <f>N46/[1]payroll!$F46</f>
        <v>0</v>
      </c>
      <c r="R46" s="2">
        <f>IF(P46&lt;$R$2,N46,[1]payroll!$F46*$R$2)</f>
        <v>0</v>
      </c>
      <c r="T46" s="10">
        <f t="shared" si="3"/>
        <v>0</v>
      </c>
      <c r="V46" s="1" t="e">
        <f t="shared" si="4"/>
        <v>#DIV/0!</v>
      </c>
    </row>
    <row r="47" spans="1:22">
      <c r="A47" s="1" t="s">
        <v>65</v>
      </c>
      <c r="B47" s="1" t="s">
        <v>66</v>
      </c>
      <c r="C47" s="5">
        <v>0</v>
      </c>
      <c r="D47" s="5">
        <v>0</v>
      </c>
      <c r="E47" s="5">
        <v>0</v>
      </c>
      <c r="F47" s="2"/>
      <c r="G47" s="2">
        <f t="shared" si="1"/>
        <v>0</v>
      </c>
      <c r="H47" s="8">
        <v>1</v>
      </c>
      <c r="J47" s="2">
        <f t="shared" si="2"/>
        <v>0</v>
      </c>
      <c r="L47" s="9">
        <f t="shared" si="0"/>
        <v>0</v>
      </c>
      <c r="N47" s="2">
        <f>L47*([1]assessment!$J$272*[1]assessment!$F$3)</f>
        <v>0</v>
      </c>
      <c r="P47" s="7">
        <f>N47/[1]payroll!$F47</f>
        <v>0</v>
      </c>
      <c r="R47" s="2">
        <f>IF(P47&lt;$R$2,N47,[1]payroll!$F47*$R$2)</f>
        <v>0</v>
      </c>
      <c r="T47" s="10">
        <f t="shared" si="3"/>
        <v>0</v>
      </c>
      <c r="V47" s="1" t="e">
        <f t="shared" si="4"/>
        <v>#DIV/0!</v>
      </c>
    </row>
    <row r="48" spans="1:22">
      <c r="A48" s="1" t="s">
        <v>67</v>
      </c>
      <c r="B48" s="1" t="s">
        <v>68</v>
      </c>
      <c r="C48" s="5">
        <f>10920.61+308</f>
        <v>11228.61</v>
      </c>
      <c r="D48" s="5">
        <v>4156.92</v>
      </c>
      <c r="E48" s="5">
        <v>0</v>
      </c>
      <c r="F48" s="2"/>
      <c r="G48" s="2">
        <f t="shared" si="1"/>
        <v>5128.51</v>
      </c>
      <c r="H48" s="8">
        <v>1</v>
      </c>
      <c r="J48" s="2">
        <f t="shared" si="2"/>
        <v>5128.51</v>
      </c>
      <c r="L48" s="9">
        <f t="shared" si="0"/>
        <v>1.416364654086447E-4</v>
      </c>
      <c r="N48" s="2">
        <f>L48*([1]assessment!$J$272*[1]assessment!$F$3)</f>
        <v>5101.2405783474924</v>
      </c>
      <c r="P48" s="7">
        <f>N48/[1]payroll!$F48</f>
        <v>1.7255234928582365E-4</v>
      </c>
      <c r="R48" s="2">
        <f>IF(P48&lt;$R$2,N48,[1]payroll!$F48*$R$2)</f>
        <v>5101.2405783474924</v>
      </c>
      <c r="T48" s="10">
        <f t="shared" si="3"/>
        <v>0</v>
      </c>
      <c r="V48" s="1">
        <f t="shared" si="4"/>
        <v>1</v>
      </c>
    </row>
    <row r="49" spans="1:22">
      <c r="A49" s="1" t="s">
        <v>69</v>
      </c>
      <c r="B49" s="1" t="s">
        <v>70</v>
      </c>
      <c r="C49" s="5">
        <v>0</v>
      </c>
      <c r="D49" s="5">
        <v>0</v>
      </c>
      <c r="E49" s="5">
        <v>0</v>
      </c>
      <c r="F49" s="2"/>
      <c r="G49" s="2">
        <f t="shared" si="1"/>
        <v>0</v>
      </c>
      <c r="H49" s="8">
        <v>1</v>
      </c>
      <c r="J49" s="2">
        <f t="shared" si="2"/>
        <v>0</v>
      </c>
      <c r="L49" s="9">
        <f t="shared" si="0"/>
        <v>0</v>
      </c>
      <c r="N49" s="2">
        <f>L49*([1]assessment!$J$272*[1]assessment!$F$3)</f>
        <v>0</v>
      </c>
      <c r="P49" s="7">
        <f>N49/[1]payroll!$F49</f>
        <v>0</v>
      </c>
      <c r="R49" s="2">
        <f>IF(P49&lt;$R$2,N49,[1]payroll!$F49*$R$2)</f>
        <v>0</v>
      </c>
      <c r="T49" s="10">
        <f t="shared" si="3"/>
        <v>0</v>
      </c>
      <c r="V49" s="1" t="e">
        <f t="shared" si="4"/>
        <v>#DIV/0!</v>
      </c>
    </row>
    <row r="50" spans="1:22">
      <c r="A50" s="1" t="s">
        <v>71</v>
      </c>
      <c r="B50" s="1" t="s">
        <v>72</v>
      </c>
      <c r="C50" s="5">
        <v>0</v>
      </c>
      <c r="D50" s="5">
        <v>0</v>
      </c>
      <c r="E50" s="5">
        <v>0</v>
      </c>
      <c r="F50" s="2"/>
      <c r="G50" s="2">
        <f t="shared" si="1"/>
        <v>0</v>
      </c>
      <c r="H50" s="8">
        <v>1</v>
      </c>
      <c r="J50" s="2">
        <f t="shared" si="2"/>
        <v>0</v>
      </c>
      <c r="L50" s="9">
        <f t="shared" si="0"/>
        <v>0</v>
      </c>
      <c r="N50" s="2">
        <f>L50*([1]assessment!$J$272*[1]assessment!$F$3)</f>
        <v>0</v>
      </c>
      <c r="P50" s="7">
        <f>N50/[1]payroll!$F50</f>
        <v>0</v>
      </c>
      <c r="R50" s="2">
        <f>IF(P50&lt;$R$2,N50,[1]payroll!$F50*$R$2)</f>
        <v>0</v>
      </c>
      <c r="T50" s="10">
        <f t="shared" si="3"/>
        <v>0</v>
      </c>
      <c r="V50" s="1" t="e">
        <f t="shared" si="4"/>
        <v>#DIV/0!</v>
      </c>
    </row>
    <row r="51" spans="1:22">
      <c r="A51" s="1" t="s">
        <v>73</v>
      </c>
      <c r="B51" s="1" t="s">
        <v>74</v>
      </c>
      <c r="C51" s="5">
        <v>0</v>
      </c>
      <c r="D51" s="5">
        <v>0</v>
      </c>
      <c r="E51" s="5">
        <v>0</v>
      </c>
      <c r="F51" s="2"/>
      <c r="G51" s="2">
        <f t="shared" si="1"/>
        <v>0</v>
      </c>
      <c r="H51" s="8">
        <v>1</v>
      </c>
      <c r="J51" s="2">
        <f t="shared" si="2"/>
        <v>0</v>
      </c>
      <c r="L51" s="9">
        <f t="shared" si="0"/>
        <v>0</v>
      </c>
      <c r="N51" s="2">
        <f>L51*([1]assessment!$J$272*[1]assessment!$F$3)</f>
        <v>0</v>
      </c>
      <c r="P51" s="7">
        <f>N51/[1]payroll!$F51</f>
        <v>0</v>
      </c>
      <c r="R51" s="2">
        <f>IF(P51&lt;$R$2,N51,[1]payroll!$F51*$R$2)</f>
        <v>0</v>
      </c>
      <c r="T51" s="10">
        <f t="shared" si="3"/>
        <v>0</v>
      </c>
      <c r="V51" s="1" t="e">
        <f t="shared" si="4"/>
        <v>#DIV/0!</v>
      </c>
    </row>
    <row r="52" spans="1:22">
      <c r="A52" s="1" t="s">
        <v>75</v>
      </c>
      <c r="B52" s="1" t="s">
        <v>76</v>
      </c>
      <c r="C52" s="5">
        <v>0</v>
      </c>
      <c r="D52" s="5">
        <v>0</v>
      </c>
      <c r="E52" s="5">
        <v>0</v>
      </c>
      <c r="F52" s="2"/>
      <c r="G52" s="2">
        <f t="shared" si="1"/>
        <v>0</v>
      </c>
      <c r="H52" s="8">
        <v>1</v>
      </c>
      <c r="J52" s="2">
        <f t="shared" si="2"/>
        <v>0</v>
      </c>
      <c r="L52" s="9">
        <f t="shared" si="0"/>
        <v>0</v>
      </c>
      <c r="N52" s="2">
        <f>L52*([1]assessment!$J$272*[1]assessment!$F$3)</f>
        <v>0</v>
      </c>
      <c r="P52" s="7">
        <f>N52/[1]payroll!$F52</f>
        <v>0</v>
      </c>
      <c r="R52" s="2">
        <f>IF(P52&lt;$R$2,N52,[1]payroll!$F52*$R$2)</f>
        <v>0</v>
      </c>
      <c r="T52" s="10">
        <f t="shared" si="3"/>
        <v>0</v>
      </c>
      <c r="V52" s="1" t="e">
        <f t="shared" si="4"/>
        <v>#DIV/0!</v>
      </c>
    </row>
    <row r="53" spans="1:22">
      <c r="A53" s="1" t="s">
        <v>77</v>
      </c>
      <c r="B53" s="1" t="s">
        <v>78</v>
      </c>
      <c r="C53" s="5">
        <v>0</v>
      </c>
      <c r="D53" s="5">
        <v>0</v>
      </c>
      <c r="E53" s="5">
        <v>0</v>
      </c>
      <c r="F53" s="2"/>
      <c r="G53" s="2">
        <f t="shared" si="1"/>
        <v>0</v>
      </c>
      <c r="H53" s="8">
        <v>1</v>
      </c>
      <c r="J53" s="2">
        <f t="shared" si="2"/>
        <v>0</v>
      </c>
      <c r="L53" s="9">
        <f t="shared" si="0"/>
        <v>0</v>
      </c>
      <c r="N53" s="2">
        <f>L53*([1]assessment!$J$272*[1]assessment!$F$3)</f>
        <v>0</v>
      </c>
      <c r="P53" s="7">
        <f>N53/[1]payroll!$F53</f>
        <v>0</v>
      </c>
      <c r="R53" s="2">
        <f>IF(P53&lt;$R$2,N53,[1]payroll!$F53*$R$2)</f>
        <v>0</v>
      </c>
      <c r="T53" s="10">
        <f t="shared" si="3"/>
        <v>0</v>
      </c>
      <c r="V53" s="1" t="e">
        <f t="shared" si="4"/>
        <v>#DIV/0!</v>
      </c>
    </row>
    <row r="54" spans="1:22">
      <c r="A54" s="1" t="s">
        <v>79</v>
      </c>
      <c r="B54" s="1" t="s">
        <v>80</v>
      </c>
      <c r="C54" s="5">
        <v>0</v>
      </c>
      <c r="D54" s="5">
        <v>0</v>
      </c>
      <c r="E54" s="5">
        <v>2084.1999999999998</v>
      </c>
      <c r="F54" s="2"/>
      <c r="G54" s="2">
        <f t="shared" si="1"/>
        <v>694.73333333333323</v>
      </c>
      <c r="H54" s="8">
        <v>1</v>
      </c>
      <c r="J54" s="2">
        <f t="shared" si="2"/>
        <v>694.73333333333323</v>
      </c>
      <c r="L54" s="9">
        <f t="shared" si="0"/>
        <v>1.9186776224458776E-5</v>
      </c>
      <c r="N54" s="2">
        <f>L54*([1]assessment!$J$272*[1]assessment!$F$3)</f>
        <v>691.03928258512008</v>
      </c>
      <c r="P54" s="7">
        <f>N54/[1]payroll!$F54</f>
        <v>7.3132159457043873E-5</v>
      </c>
      <c r="R54" s="2">
        <f>IF(P54&lt;$R$2,N54,[1]payroll!$F54*$R$2)</f>
        <v>691.03928258512008</v>
      </c>
      <c r="T54" s="10">
        <f t="shared" si="3"/>
        <v>0</v>
      </c>
      <c r="V54" s="1">
        <f t="shared" si="4"/>
        <v>1</v>
      </c>
    </row>
    <row r="55" spans="1:22">
      <c r="A55" s="1" t="s">
        <v>81</v>
      </c>
      <c r="B55" s="1" t="s">
        <v>82</v>
      </c>
      <c r="C55" s="5">
        <v>0</v>
      </c>
      <c r="D55" s="5">
        <v>0</v>
      </c>
      <c r="E55" s="5">
        <v>0</v>
      </c>
      <c r="F55" s="2"/>
      <c r="G55" s="2">
        <f t="shared" si="1"/>
        <v>0</v>
      </c>
      <c r="H55" s="8">
        <v>1</v>
      </c>
      <c r="J55" s="2">
        <f t="shared" si="2"/>
        <v>0</v>
      </c>
      <c r="L55" s="9">
        <f t="shared" si="0"/>
        <v>0</v>
      </c>
      <c r="N55" s="2">
        <f>L55*([1]assessment!$J$272*[1]assessment!$F$3)</f>
        <v>0</v>
      </c>
      <c r="P55" s="7">
        <f>N55/[1]payroll!$F55</f>
        <v>0</v>
      </c>
      <c r="R55" s="2">
        <f>IF(P55&lt;$R$2,N55,[1]payroll!$F55*$R$2)</f>
        <v>0</v>
      </c>
      <c r="T55" s="10">
        <f t="shared" si="3"/>
        <v>0</v>
      </c>
      <c r="V55" s="1" t="e">
        <f t="shared" si="4"/>
        <v>#DIV/0!</v>
      </c>
    </row>
    <row r="56" spans="1:22">
      <c r="A56" s="1" t="s">
        <v>83</v>
      </c>
      <c r="B56" s="11" t="s">
        <v>542</v>
      </c>
      <c r="C56" s="5">
        <f>367135.3+1500</f>
        <v>368635.3</v>
      </c>
      <c r="D56" s="5">
        <v>564382.78</v>
      </c>
      <c r="E56" s="5">
        <v>454253.3</v>
      </c>
      <c r="F56" s="2"/>
      <c r="G56" s="2">
        <f t="shared" si="1"/>
        <v>462423.79333333339</v>
      </c>
      <c r="H56" s="8">
        <v>1</v>
      </c>
      <c r="J56" s="2">
        <f t="shared" si="2"/>
        <v>462423.79333333339</v>
      </c>
      <c r="L56" s="9">
        <f t="shared" si="0"/>
        <v>1.277097472922758E-2</v>
      </c>
      <c r="N56" s="2">
        <f>L56*([1]assessment!$J$272*[1]assessment!$F$3)</f>
        <v>459964.98377606261</v>
      </c>
      <c r="P56" s="7">
        <f>N56/[1]payroll!$F56</f>
        <v>8.9757626508512483E-4</v>
      </c>
      <c r="R56" s="2">
        <f>IF(P56&lt;$R$2,N56,[1]payroll!$F56*$R$2)</f>
        <v>459964.98377606261</v>
      </c>
      <c r="T56" s="10">
        <f t="shared" si="3"/>
        <v>0</v>
      </c>
      <c r="V56" s="1">
        <f t="shared" si="4"/>
        <v>1</v>
      </c>
    </row>
    <row r="57" spans="1:22">
      <c r="A57" s="1" t="s">
        <v>84</v>
      </c>
      <c r="B57" s="1" t="s">
        <v>85</v>
      </c>
      <c r="C57" s="5">
        <v>1631.33</v>
      </c>
      <c r="D57" s="5">
        <v>26892.95</v>
      </c>
      <c r="E57" s="5">
        <v>6518.73</v>
      </c>
      <c r="F57" s="2"/>
      <c r="G57" s="2">
        <f t="shared" si="1"/>
        <v>11681.003333333332</v>
      </c>
      <c r="H57" s="8">
        <v>1</v>
      </c>
      <c r="J57" s="2">
        <f t="shared" si="2"/>
        <v>11681.003333333332</v>
      </c>
      <c r="L57" s="9">
        <f t="shared" si="0"/>
        <v>3.2259974623427269E-4</v>
      </c>
      <c r="N57" s="2">
        <f>L57*([1]assessment!$J$272*[1]assessment!$F$3)</f>
        <v>11618.892855783124</v>
      </c>
      <c r="P57" s="7">
        <f>N57/[1]payroll!$F57</f>
        <v>4.7635501818263642E-4</v>
      </c>
      <c r="R57" s="2">
        <f>IF(P57&lt;$R$2,N57,[1]payroll!$F57*$R$2)</f>
        <v>11618.892855783124</v>
      </c>
      <c r="T57" s="10">
        <f t="shared" si="3"/>
        <v>0</v>
      </c>
      <c r="V57" s="1">
        <f t="shared" si="4"/>
        <v>1</v>
      </c>
    </row>
    <row r="58" spans="1:22">
      <c r="A58" s="1" t="s">
        <v>86</v>
      </c>
      <c r="B58" s="1" t="s">
        <v>87</v>
      </c>
      <c r="C58" s="5">
        <v>2465901.64</v>
      </c>
      <c r="D58" s="5">
        <v>2813986.95</v>
      </c>
      <c r="E58" s="5">
        <v>2558173.5699999998</v>
      </c>
      <c r="F58" s="2"/>
      <c r="G58" s="2">
        <f t="shared" si="1"/>
        <v>2612687.3866666667</v>
      </c>
      <c r="H58" s="8">
        <v>1</v>
      </c>
      <c r="J58" s="2">
        <f t="shared" si="2"/>
        <v>2612687.3866666667</v>
      </c>
      <c r="L58" s="9">
        <f t="shared" si="0"/>
        <v>7.2155812636655797E-2</v>
      </c>
      <c r="N58" s="2">
        <f>L58*([1]assessment!$J$272*[1]assessment!$F$3)</f>
        <v>2598795.1501314542</v>
      </c>
      <c r="P58" s="7">
        <f>N58/[1]payroll!$F58</f>
        <v>3.6525446943450209E-3</v>
      </c>
      <c r="R58" s="2">
        <f>IF(P58&lt;$R$2,N58,[1]payroll!$F58*$R$2)</f>
        <v>2598795.1501314542</v>
      </c>
      <c r="T58" s="10">
        <f t="shared" si="3"/>
        <v>0</v>
      </c>
      <c r="V58" s="1">
        <f t="shared" si="4"/>
        <v>1</v>
      </c>
    </row>
    <row r="59" spans="1:22">
      <c r="A59" s="1" t="s">
        <v>88</v>
      </c>
      <c r="B59" s="11" t="s">
        <v>540</v>
      </c>
      <c r="C59" s="5">
        <v>0</v>
      </c>
      <c r="D59" s="5">
        <v>0</v>
      </c>
      <c r="E59" s="5">
        <v>0</v>
      </c>
      <c r="F59" s="2"/>
      <c r="G59" s="2">
        <f t="shared" si="1"/>
        <v>0</v>
      </c>
      <c r="H59" s="8">
        <v>1</v>
      </c>
      <c r="J59" s="2">
        <f t="shared" si="2"/>
        <v>0</v>
      </c>
      <c r="L59" s="9">
        <f t="shared" si="0"/>
        <v>0</v>
      </c>
      <c r="N59" s="2">
        <f>L59*([1]assessment!$J$272*[1]assessment!$F$3)</f>
        <v>0</v>
      </c>
      <c r="P59" s="7">
        <f>N59/[1]payroll!$F59</f>
        <v>0</v>
      </c>
      <c r="R59" s="2">
        <f>IF(P59&lt;$R$2,N59,[1]payroll!$F59*$R$2)</f>
        <v>0</v>
      </c>
      <c r="T59" s="10">
        <f t="shared" si="3"/>
        <v>0</v>
      </c>
      <c r="V59" s="1" t="e">
        <f t="shared" si="4"/>
        <v>#DIV/0!</v>
      </c>
    </row>
    <row r="60" spans="1:22">
      <c r="A60" s="1" t="s">
        <v>89</v>
      </c>
      <c r="B60" s="1" t="s">
        <v>90</v>
      </c>
      <c r="C60" s="5">
        <v>0</v>
      </c>
      <c r="D60" s="5">
        <v>0</v>
      </c>
      <c r="E60" s="5">
        <v>0</v>
      </c>
      <c r="F60" s="2"/>
      <c r="G60" s="2">
        <f t="shared" si="1"/>
        <v>0</v>
      </c>
      <c r="H60" s="8">
        <v>1</v>
      </c>
      <c r="J60" s="2">
        <f t="shared" si="2"/>
        <v>0</v>
      </c>
      <c r="L60" s="9">
        <f t="shared" si="0"/>
        <v>0</v>
      </c>
      <c r="N60" s="2">
        <f>L60*([1]assessment!$J$272*[1]assessment!$F$3)</f>
        <v>0</v>
      </c>
      <c r="P60" s="7">
        <f>N60/[1]payroll!$F60</f>
        <v>0</v>
      </c>
      <c r="R60" s="2">
        <f>IF(P60&lt;$R$2,N60,[1]payroll!$F60*$R$2)</f>
        <v>0</v>
      </c>
      <c r="T60" s="10">
        <f t="shared" si="3"/>
        <v>0</v>
      </c>
      <c r="V60" s="1" t="e">
        <f t="shared" si="4"/>
        <v>#DIV/0!</v>
      </c>
    </row>
    <row r="61" spans="1:22">
      <c r="A61" s="1" t="s">
        <v>91</v>
      </c>
      <c r="B61" s="1" t="s">
        <v>92</v>
      </c>
      <c r="C61" s="5">
        <v>0</v>
      </c>
      <c r="D61" s="5">
        <v>181.76</v>
      </c>
      <c r="E61" s="5">
        <v>0</v>
      </c>
      <c r="F61" s="2"/>
      <c r="G61" s="2">
        <f t="shared" si="1"/>
        <v>60.586666666666666</v>
      </c>
      <c r="H61" s="8">
        <v>1</v>
      </c>
      <c r="J61" s="2">
        <f t="shared" si="2"/>
        <v>60.586666666666666</v>
      </c>
      <c r="L61" s="9">
        <f t="shared" si="0"/>
        <v>1.6732503821886706E-6</v>
      </c>
      <c r="N61" s="2">
        <f>L61*([1]assessment!$J$272*[1]assessment!$F$3)</f>
        <v>60.264513963473483</v>
      </c>
      <c r="P61" s="7">
        <f>N61/[1]payroll!$F61</f>
        <v>2.6741000195016665E-5</v>
      </c>
      <c r="R61" s="2">
        <f>IF(P61&lt;$R$2,N61,[1]payroll!$F61*$R$2)</f>
        <v>60.264513963473483</v>
      </c>
      <c r="T61" s="10">
        <f t="shared" si="3"/>
        <v>0</v>
      </c>
      <c r="V61" s="1">
        <f t="shared" si="4"/>
        <v>1</v>
      </c>
    </row>
    <row r="62" spans="1:22">
      <c r="A62" s="1" t="s">
        <v>478</v>
      </c>
      <c r="B62" s="1" t="s">
        <v>479</v>
      </c>
      <c r="C62" s="5">
        <v>0</v>
      </c>
      <c r="D62" s="5">
        <v>241.85</v>
      </c>
      <c r="E62" s="5">
        <v>180</v>
      </c>
      <c r="F62" s="2"/>
      <c r="G62" s="2">
        <f t="shared" si="1"/>
        <v>140.61666666666667</v>
      </c>
      <c r="H62" s="8">
        <v>1</v>
      </c>
      <c r="J62" s="2">
        <f t="shared" si="2"/>
        <v>140.61666666666667</v>
      </c>
      <c r="L62" s="9">
        <f t="shared" si="0"/>
        <v>3.8834764179483428E-6</v>
      </c>
      <c r="N62" s="2">
        <f>L62*([1]assessment!$J$272*[1]assessment!$F$3)</f>
        <v>139.86897675776459</v>
      </c>
      <c r="P62" s="7">
        <f>N62/[1]payroll!$F62</f>
        <v>1.7950807568651348E-5</v>
      </c>
      <c r="R62" s="2">
        <f>IF(P62&lt;$R$2,N62,[1]payroll!$F62*$R$2)</f>
        <v>139.86897675776459</v>
      </c>
      <c r="T62" s="10">
        <f t="shared" si="3"/>
        <v>0</v>
      </c>
      <c r="V62" s="1">
        <f t="shared" si="4"/>
        <v>1</v>
      </c>
    </row>
    <row r="63" spans="1:22">
      <c r="A63" s="1" t="s">
        <v>93</v>
      </c>
      <c r="B63" s="1" t="s">
        <v>480</v>
      </c>
      <c r="C63" s="5">
        <v>0</v>
      </c>
      <c r="D63" s="5">
        <v>0</v>
      </c>
      <c r="E63" s="5">
        <v>0</v>
      </c>
      <c r="F63" s="2"/>
      <c r="G63" s="2">
        <f t="shared" si="1"/>
        <v>0</v>
      </c>
      <c r="H63" s="8">
        <v>1</v>
      </c>
      <c r="J63" s="2">
        <f t="shared" si="2"/>
        <v>0</v>
      </c>
      <c r="L63" s="9">
        <f t="shared" si="0"/>
        <v>0</v>
      </c>
      <c r="N63" s="2">
        <f>L63*([1]assessment!$J$272*[1]assessment!$F$3)</f>
        <v>0</v>
      </c>
      <c r="P63" s="7">
        <f>N63/[1]payroll!$F63</f>
        <v>0</v>
      </c>
      <c r="R63" s="2">
        <f>IF(P63&lt;$R$2,N63,[1]payroll!$F63*$R$2)</f>
        <v>0</v>
      </c>
      <c r="T63" s="10">
        <f t="shared" si="3"/>
        <v>0</v>
      </c>
      <c r="V63" s="1" t="e">
        <f t="shared" si="4"/>
        <v>#DIV/0!</v>
      </c>
    </row>
    <row r="64" spans="1:22">
      <c r="A64" s="1" t="s">
        <v>94</v>
      </c>
      <c r="B64" s="1" t="s">
        <v>95</v>
      </c>
      <c r="C64" s="5">
        <v>36464.49</v>
      </c>
      <c r="D64" s="5">
        <v>30563.61</v>
      </c>
      <c r="E64" s="5">
        <v>33891.769999999997</v>
      </c>
      <c r="F64" s="2"/>
      <c r="G64" s="2">
        <f t="shared" si="1"/>
        <v>33639.956666666665</v>
      </c>
      <c r="H64" s="8">
        <v>1</v>
      </c>
      <c r="J64" s="2">
        <f t="shared" si="2"/>
        <v>33639.956666666665</v>
      </c>
      <c r="L64" s="9">
        <f t="shared" si="0"/>
        <v>9.2905045690983143E-4</v>
      </c>
      <c r="N64" s="2">
        <f>L64*([1]assessment!$J$272*[1]assessment!$F$3)</f>
        <v>33461.085578823331</v>
      </c>
      <c r="P64" s="7">
        <f>N64/[1]payroll!$F64</f>
        <v>1.6651203789928364E-3</v>
      </c>
      <c r="R64" s="2">
        <f>IF(P64&lt;$R$2,N64,[1]payroll!$F64*$R$2)</f>
        <v>33461.085578823331</v>
      </c>
      <c r="T64" s="10">
        <f t="shared" si="3"/>
        <v>0</v>
      </c>
      <c r="V64" s="1">
        <f t="shared" si="4"/>
        <v>1</v>
      </c>
    </row>
    <row r="65" spans="1:22">
      <c r="A65" s="1" t="s">
        <v>96</v>
      </c>
      <c r="B65" s="1" t="s">
        <v>97</v>
      </c>
      <c r="C65" s="5">
        <v>8415.6200000000008</v>
      </c>
      <c r="D65" s="5">
        <v>-5243.82</v>
      </c>
      <c r="E65" s="5">
        <f>5025+4612.62</f>
        <v>9637.619999999999</v>
      </c>
      <c r="F65" s="2"/>
      <c r="G65" s="2">
        <f t="shared" si="1"/>
        <v>4269.8066666666664</v>
      </c>
      <c r="H65" s="8">
        <v>1</v>
      </c>
      <c r="J65" s="2">
        <f t="shared" si="2"/>
        <v>4269.8066666666664</v>
      </c>
      <c r="L65" s="9">
        <f t="shared" si="0"/>
        <v>1.1792125280928258E-4</v>
      </c>
      <c r="N65" s="2">
        <f>L65*([1]assessment!$J$272*[1]assessment!$F$3)</f>
        <v>4247.1031605083435</v>
      </c>
      <c r="P65" s="7">
        <f>N65/[1]payroll!$F65</f>
        <v>7.5021661194794756E-5</v>
      </c>
      <c r="R65" s="2">
        <f>IF(P65&lt;$R$2,N65,[1]payroll!$F65*$R$2)</f>
        <v>4247.1031605083435</v>
      </c>
      <c r="T65" s="10">
        <f t="shared" si="3"/>
        <v>0</v>
      </c>
      <c r="V65" s="1">
        <f t="shared" si="4"/>
        <v>1</v>
      </c>
    </row>
    <row r="66" spans="1:22">
      <c r="A66" s="1" t="s">
        <v>98</v>
      </c>
      <c r="B66" s="1" t="s">
        <v>99</v>
      </c>
      <c r="C66" s="5">
        <v>78561.75</v>
      </c>
      <c r="D66" s="5">
        <v>79657.259999999995</v>
      </c>
      <c r="E66" s="5">
        <f>62493.72-152.5</f>
        <v>62341.22</v>
      </c>
      <c r="F66" s="2"/>
      <c r="G66" s="2">
        <f t="shared" si="1"/>
        <v>73520.076666666675</v>
      </c>
      <c r="H66" s="8">
        <v>1</v>
      </c>
      <c r="J66" s="2">
        <f t="shared" si="2"/>
        <v>73520.076666666675</v>
      </c>
      <c r="L66" s="9">
        <f t="shared" si="0"/>
        <v>2.0304384305849534E-3</v>
      </c>
      <c r="N66" s="2">
        <f>L66*([1]assessment!$J$272*[1]assessment!$F$3)</f>
        <v>73129.15416275266</v>
      </c>
      <c r="P66" s="7">
        <f>N66/[1]payroll!$F66</f>
        <v>8.4676189891679595E-4</v>
      </c>
      <c r="R66" s="2">
        <f>IF(P66&lt;$R$2,N66,[1]payroll!$F66*$R$2)</f>
        <v>73129.15416275266</v>
      </c>
      <c r="T66" s="10">
        <f t="shared" si="3"/>
        <v>0</v>
      </c>
      <c r="V66" s="1">
        <f t="shared" si="4"/>
        <v>1</v>
      </c>
    </row>
    <row r="67" spans="1:22">
      <c r="A67" s="1" t="s">
        <v>100</v>
      </c>
      <c r="B67" s="1" t="s">
        <v>519</v>
      </c>
      <c r="C67" s="5">
        <v>6827.18</v>
      </c>
      <c r="D67" s="5">
        <v>1130.3800000000001</v>
      </c>
      <c r="E67" s="5">
        <v>20439.12</v>
      </c>
      <c r="F67" s="2"/>
      <c r="G67" s="2">
        <f t="shared" si="1"/>
        <v>9465.56</v>
      </c>
      <c r="H67" s="8">
        <v>1</v>
      </c>
      <c r="J67" s="2">
        <f t="shared" si="2"/>
        <v>9465.56</v>
      </c>
      <c r="L67" s="9">
        <f t="shared" si="0"/>
        <v>2.6141480888473471E-4</v>
      </c>
      <c r="N67" s="2">
        <f>L67*([1]assessment!$J$272*[1]assessment!$F$3)</f>
        <v>9415.22952451743</v>
      </c>
      <c r="P67" s="7">
        <f>N67/[1]payroll!$F67</f>
        <v>1.2895379767940637E-4</v>
      </c>
      <c r="R67" s="2">
        <f>IF(P67&lt;$R$2,N67,[1]payroll!$F67*$R$2)</f>
        <v>9415.22952451743</v>
      </c>
      <c r="T67" s="10">
        <f t="shared" si="3"/>
        <v>0</v>
      </c>
      <c r="V67" s="1">
        <f t="shared" si="4"/>
        <v>1</v>
      </c>
    </row>
    <row r="68" spans="1:22">
      <c r="A68" s="1" t="s">
        <v>101</v>
      </c>
      <c r="B68" s="1" t="s">
        <v>102</v>
      </c>
      <c r="C68" s="5">
        <v>0</v>
      </c>
      <c r="D68" s="5">
        <v>0</v>
      </c>
      <c r="E68" s="5">
        <v>0</v>
      </c>
      <c r="F68" s="2"/>
      <c r="G68" s="2">
        <f t="shared" si="1"/>
        <v>0</v>
      </c>
      <c r="H68" s="8">
        <v>1</v>
      </c>
      <c r="J68" s="2">
        <f t="shared" si="2"/>
        <v>0</v>
      </c>
      <c r="L68" s="9">
        <f t="shared" si="0"/>
        <v>0</v>
      </c>
      <c r="N68" s="2">
        <f>L68*([1]assessment!$J$272*[1]assessment!$F$3)</f>
        <v>0</v>
      </c>
      <c r="P68" s="7">
        <f>N68/[1]payroll!$F68</f>
        <v>0</v>
      </c>
      <c r="R68" s="2">
        <f>IF(P68&lt;$R$2,N68,[1]payroll!$F68*$R$2)</f>
        <v>0</v>
      </c>
      <c r="T68" s="10">
        <f t="shared" si="3"/>
        <v>0</v>
      </c>
      <c r="V68" s="1" t="e">
        <f t="shared" si="4"/>
        <v>#DIV/0!</v>
      </c>
    </row>
    <row r="69" spans="1:22">
      <c r="A69" s="1" t="s">
        <v>103</v>
      </c>
      <c r="B69" s="1" t="s">
        <v>104</v>
      </c>
      <c r="C69" s="5">
        <v>0</v>
      </c>
      <c r="D69" s="5">
        <v>7079.61</v>
      </c>
      <c r="E69" s="5">
        <v>9214.1299999999992</v>
      </c>
      <c r="F69" s="2"/>
      <c r="G69" s="2">
        <f t="shared" si="1"/>
        <v>5431.246666666666</v>
      </c>
      <c r="H69" s="8">
        <v>1</v>
      </c>
      <c r="J69" s="2">
        <f t="shared" ref="J69:J131" si="5">+G69*H69</f>
        <v>5431.246666666666</v>
      </c>
      <c r="L69" s="9">
        <f t="shared" ref="L69:L132" si="6">+J69/$J$264</f>
        <v>1.4999728588403844E-4</v>
      </c>
      <c r="N69" s="2">
        <f>L69*([1]assessment!$J$272*[1]assessment!$F$3)</f>
        <v>5402.3675272183445</v>
      </c>
      <c r="P69" s="7">
        <f>N69/[1]payroll!$F69</f>
        <v>1.7084444204975291E-3</v>
      </c>
      <c r="R69" s="2">
        <f>IF(P69&lt;$R$2,N69,[1]payroll!$F69*$R$2)</f>
        <v>5402.3675272183445</v>
      </c>
      <c r="T69" s="10">
        <f t="shared" ref="T69:T131" si="7">+N69-R69</f>
        <v>0</v>
      </c>
      <c r="V69" s="1">
        <f t="shared" ref="V69:V131" si="8">+R69/N69</f>
        <v>1</v>
      </c>
    </row>
    <row r="70" spans="1:22">
      <c r="A70" s="1" t="s">
        <v>105</v>
      </c>
      <c r="B70" s="1" t="s">
        <v>106</v>
      </c>
      <c r="C70" s="5">
        <v>43954.79</v>
      </c>
      <c r="D70" s="5">
        <v>24151.74</v>
      </c>
      <c r="E70" s="5">
        <v>66777.84</v>
      </c>
      <c r="F70" s="2"/>
      <c r="G70" s="2">
        <f t="shared" ref="G70:G132" si="9">IF(SUM(C70:E70)&gt;0,AVERAGE(C70:E70),0)</f>
        <v>44961.456666666665</v>
      </c>
      <c r="H70" s="8">
        <v>1</v>
      </c>
      <c r="J70" s="2">
        <f t="shared" si="5"/>
        <v>44961.456666666665</v>
      </c>
      <c r="L70" s="9">
        <f t="shared" si="6"/>
        <v>1.241721631017705E-3</v>
      </c>
      <c r="N70" s="2">
        <f>L70*([1]assessment!$J$272*[1]assessment!$F$3)</f>
        <v>44722.386659987475</v>
      </c>
      <c r="P70" s="7">
        <f>N70/[1]payroll!$F70</f>
        <v>1.168856458845966E-3</v>
      </c>
      <c r="R70" s="2">
        <f>IF(P70&lt;$R$2,N70,[1]payroll!$F70*$R$2)</f>
        <v>44722.386659987475</v>
      </c>
      <c r="T70" s="10">
        <f t="shared" si="7"/>
        <v>0</v>
      </c>
      <c r="V70" s="1">
        <f t="shared" si="8"/>
        <v>1</v>
      </c>
    </row>
    <row r="71" spans="1:22">
      <c r="A71" s="1" t="s">
        <v>107</v>
      </c>
      <c r="B71" s="1" t="s">
        <v>108</v>
      </c>
      <c r="C71" s="5">
        <v>0</v>
      </c>
      <c r="D71" s="5">
        <v>0</v>
      </c>
      <c r="E71" s="5">
        <v>0</v>
      </c>
      <c r="F71" s="2"/>
      <c r="G71" s="2">
        <f t="shared" si="9"/>
        <v>0</v>
      </c>
      <c r="H71" s="8">
        <v>1</v>
      </c>
      <c r="J71" s="2">
        <f t="shared" si="5"/>
        <v>0</v>
      </c>
      <c r="L71" s="9">
        <f t="shared" si="6"/>
        <v>0</v>
      </c>
      <c r="N71" s="2">
        <f>L71*([1]assessment!$J$272*[1]assessment!$F$3)</f>
        <v>0</v>
      </c>
      <c r="P71" s="7">
        <f>N71/[1]payroll!$F71</f>
        <v>0</v>
      </c>
      <c r="R71" s="2">
        <f>IF(P71&lt;$R$2,N71,[1]payroll!$F71*$R$2)</f>
        <v>0</v>
      </c>
      <c r="T71" s="10">
        <f t="shared" si="7"/>
        <v>0</v>
      </c>
      <c r="V71" s="1" t="e">
        <f t="shared" si="8"/>
        <v>#DIV/0!</v>
      </c>
    </row>
    <row r="72" spans="1:22">
      <c r="A72" s="1" t="s">
        <v>109</v>
      </c>
      <c r="B72" s="1" t="s">
        <v>556</v>
      </c>
      <c r="C72" s="5">
        <v>0</v>
      </c>
      <c r="D72" s="5">
        <v>0</v>
      </c>
      <c r="E72" s="5">
        <v>0</v>
      </c>
      <c r="F72" s="2"/>
      <c r="G72" s="2">
        <f t="shared" si="9"/>
        <v>0</v>
      </c>
      <c r="H72" s="8">
        <v>1</v>
      </c>
      <c r="J72" s="2">
        <f t="shared" si="5"/>
        <v>0</v>
      </c>
      <c r="L72" s="9">
        <f t="shared" si="6"/>
        <v>0</v>
      </c>
      <c r="N72" s="2">
        <f>L72*([1]assessment!$J$272*[1]assessment!$F$3)</f>
        <v>0</v>
      </c>
      <c r="P72" s="7">
        <f>N72/[1]payroll!$F72</f>
        <v>0</v>
      </c>
      <c r="R72" s="2">
        <f>IF(P72&lt;$R$2,N72,[1]payroll!$F72*$R$2)</f>
        <v>0</v>
      </c>
      <c r="T72" s="10">
        <f t="shared" si="7"/>
        <v>0</v>
      </c>
      <c r="V72" s="1" t="e">
        <f t="shared" si="8"/>
        <v>#DIV/0!</v>
      </c>
    </row>
    <row r="73" spans="1:22">
      <c r="A73" s="1" t="s">
        <v>110</v>
      </c>
      <c r="B73" s="1" t="s">
        <v>111</v>
      </c>
      <c r="C73" s="5">
        <v>0</v>
      </c>
      <c r="D73" s="5">
        <v>0</v>
      </c>
      <c r="E73" s="5">
        <v>0</v>
      </c>
      <c r="F73" s="2"/>
      <c r="G73" s="2">
        <f t="shared" si="9"/>
        <v>0</v>
      </c>
      <c r="H73" s="8">
        <v>1</v>
      </c>
      <c r="J73" s="2">
        <f>+G73*H73</f>
        <v>0</v>
      </c>
      <c r="L73" s="9">
        <f t="shared" si="6"/>
        <v>0</v>
      </c>
      <c r="N73" s="2">
        <f>L73*([1]assessment!$J$272*[1]assessment!$F$3)</f>
        <v>0</v>
      </c>
      <c r="P73" s="7">
        <f>N73/[1]payroll!$F73</f>
        <v>0</v>
      </c>
      <c r="R73" s="2">
        <f>IF(P73&lt;$R$2,N73,[1]payroll!$F73*$R$2)</f>
        <v>0</v>
      </c>
      <c r="T73" s="10">
        <f t="shared" si="7"/>
        <v>0</v>
      </c>
      <c r="V73" s="1" t="e">
        <f t="shared" si="8"/>
        <v>#DIV/0!</v>
      </c>
    </row>
    <row r="74" spans="1:22">
      <c r="A74" s="1" t="s">
        <v>112</v>
      </c>
      <c r="B74" s="1" t="s">
        <v>113</v>
      </c>
      <c r="C74" s="5">
        <v>0</v>
      </c>
      <c r="D74" s="5">
        <v>0</v>
      </c>
      <c r="E74" s="5">
        <v>0</v>
      </c>
      <c r="F74" s="2"/>
      <c r="G74" s="2">
        <f t="shared" si="9"/>
        <v>0</v>
      </c>
      <c r="H74" s="8">
        <v>1</v>
      </c>
      <c r="J74" s="2">
        <f t="shared" si="5"/>
        <v>0</v>
      </c>
      <c r="L74" s="9">
        <f t="shared" si="6"/>
        <v>0</v>
      </c>
      <c r="N74" s="2">
        <f>L74*([1]assessment!$J$272*[1]assessment!$F$3)</f>
        <v>0</v>
      </c>
      <c r="P74" s="7">
        <f>N74/[1]payroll!$F74</f>
        <v>0</v>
      </c>
      <c r="R74" s="2">
        <f>IF(P74&lt;$R$2,N74,[1]payroll!$F74*$R$2)</f>
        <v>0</v>
      </c>
      <c r="T74" s="10">
        <f t="shared" si="7"/>
        <v>0</v>
      </c>
      <c r="V74" s="1" t="e">
        <f t="shared" si="8"/>
        <v>#DIV/0!</v>
      </c>
    </row>
    <row r="75" spans="1:22">
      <c r="A75" s="1" t="s">
        <v>114</v>
      </c>
      <c r="B75" s="1" t="s">
        <v>115</v>
      </c>
      <c r="C75" s="5">
        <v>0</v>
      </c>
      <c r="D75" s="5">
        <v>0</v>
      </c>
      <c r="E75" s="5">
        <v>534.24</v>
      </c>
      <c r="F75" s="2"/>
      <c r="G75" s="2">
        <f t="shared" si="9"/>
        <v>178.08</v>
      </c>
      <c r="H75" s="8">
        <v>1</v>
      </c>
      <c r="J75" s="2">
        <f t="shared" si="5"/>
        <v>178.08</v>
      </c>
      <c r="L75" s="9">
        <f t="shared" si="6"/>
        <v>4.9181188610281445E-6</v>
      </c>
      <c r="N75" s="2">
        <f>L75*([1]assessment!$J$272*[1]assessment!$F$3)</f>
        <v>177.13310926411796</v>
      </c>
      <c r="P75" s="7">
        <f>N75/[1]payroll!$F75</f>
        <v>8.4150414430223096E-6</v>
      </c>
      <c r="R75" s="2">
        <f>IF(P75&lt;$R$2,N75,[1]payroll!$F75*$R$2)</f>
        <v>177.13310926411796</v>
      </c>
      <c r="T75" s="10">
        <f t="shared" si="7"/>
        <v>0</v>
      </c>
      <c r="V75" s="1">
        <f t="shared" si="8"/>
        <v>1</v>
      </c>
    </row>
    <row r="76" spans="1:22">
      <c r="A76" s="1" t="s">
        <v>116</v>
      </c>
      <c r="B76" s="1" t="s">
        <v>117</v>
      </c>
      <c r="C76" s="5">
        <v>0</v>
      </c>
      <c r="D76" s="5">
        <v>0</v>
      </c>
      <c r="E76" s="5">
        <v>0</v>
      </c>
      <c r="F76" s="2"/>
      <c r="G76" s="2">
        <f t="shared" si="9"/>
        <v>0</v>
      </c>
      <c r="H76" s="8">
        <v>1</v>
      </c>
      <c r="J76" s="2">
        <f t="shared" si="5"/>
        <v>0</v>
      </c>
      <c r="L76" s="9">
        <f t="shared" si="6"/>
        <v>0</v>
      </c>
      <c r="N76" s="2">
        <f>L76*([1]assessment!$J$272*[1]assessment!$F$3)</f>
        <v>0</v>
      </c>
      <c r="P76" s="7">
        <f>N76/[1]payroll!$F76</f>
        <v>0</v>
      </c>
      <c r="R76" s="2">
        <f>IF(P76&lt;$R$2,N76,[1]payroll!$F76*$R$2)</f>
        <v>0</v>
      </c>
      <c r="T76" s="10">
        <f t="shared" si="7"/>
        <v>0</v>
      </c>
      <c r="V76" s="1" t="e">
        <f t="shared" si="8"/>
        <v>#DIV/0!</v>
      </c>
    </row>
    <row r="77" spans="1:22">
      <c r="A77" s="1" t="s">
        <v>118</v>
      </c>
      <c r="B77" s="1" t="s">
        <v>119</v>
      </c>
      <c r="C77" s="5">
        <v>0</v>
      </c>
      <c r="D77" s="5">
        <v>0</v>
      </c>
      <c r="E77" s="5">
        <v>0</v>
      </c>
      <c r="F77" s="2"/>
      <c r="G77" s="2">
        <f t="shared" si="9"/>
        <v>0</v>
      </c>
      <c r="H77" s="8">
        <v>1</v>
      </c>
      <c r="J77" s="2">
        <f t="shared" si="5"/>
        <v>0</v>
      </c>
      <c r="L77" s="9">
        <f t="shared" si="6"/>
        <v>0</v>
      </c>
      <c r="N77" s="2">
        <f>L77*([1]assessment!$J$272*[1]assessment!$F$3)</f>
        <v>0</v>
      </c>
      <c r="P77" s="7">
        <f>N77/[1]payroll!$F77</f>
        <v>0</v>
      </c>
      <c r="R77" s="2">
        <f>IF(P77&lt;$R$2,N77,[1]payroll!$F77*$R$2)</f>
        <v>0</v>
      </c>
      <c r="T77" s="10">
        <f t="shared" si="7"/>
        <v>0</v>
      </c>
      <c r="V77" s="1" t="e">
        <f t="shared" si="8"/>
        <v>#DIV/0!</v>
      </c>
    </row>
    <row r="78" spans="1:22">
      <c r="A78" s="1" t="s">
        <v>120</v>
      </c>
      <c r="B78" s="1" t="s">
        <v>486</v>
      </c>
      <c r="C78" s="5">
        <v>0</v>
      </c>
      <c r="D78" s="5">
        <v>0</v>
      </c>
      <c r="E78" s="5">
        <v>0</v>
      </c>
      <c r="F78" s="2"/>
      <c r="G78" s="2">
        <f t="shared" si="9"/>
        <v>0</v>
      </c>
      <c r="H78" s="8">
        <v>1</v>
      </c>
      <c r="J78" s="2">
        <f t="shared" si="5"/>
        <v>0</v>
      </c>
      <c r="L78" s="9">
        <f t="shared" si="6"/>
        <v>0</v>
      </c>
      <c r="N78" s="2">
        <f>L78*([1]assessment!$J$272*[1]assessment!$F$3)</f>
        <v>0</v>
      </c>
      <c r="P78" s="7">
        <f>N78/[1]payroll!$F78</f>
        <v>0</v>
      </c>
      <c r="R78" s="2">
        <f>IF(P78&lt;$R$2,N78,[1]payroll!$F78*$R$2)</f>
        <v>0</v>
      </c>
      <c r="T78" s="10">
        <f t="shared" si="7"/>
        <v>0</v>
      </c>
      <c r="V78" s="1" t="e">
        <f t="shared" si="8"/>
        <v>#DIV/0!</v>
      </c>
    </row>
    <row r="79" spans="1:22">
      <c r="A79" s="1" t="s">
        <v>121</v>
      </c>
      <c r="B79" s="1" t="s">
        <v>122</v>
      </c>
      <c r="C79" s="5">
        <v>190.85</v>
      </c>
      <c r="D79" s="5">
        <v>180</v>
      </c>
      <c r="E79" s="5">
        <v>0</v>
      </c>
      <c r="F79" s="2"/>
      <c r="G79" s="2">
        <f t="shared" si="9"/>
        <v>123.61666666666667</v>
      </c>
      <c r="H79" s="8">
        <v>1</v>
      </c>
      <c r="J79" s="2">
        <f t="shared" si="5"/>
        <v>123.61666666666667</v>
      </c>
      <c r="L79" s="9">
        <f t="shared" si="6"/>
        <v>3.4139794467136253E-6</v>
      </c>
      <c r="N79" s="2">
        <f>L79*([1]assessment!$J$272*[1]assessment!$F$3)</f>
        <v>122.95936951669313</v>
      </c>
      <c r="P79" s="7">
        <f>N79/[1]payroll!$F79</f>
        <v>1.6881638506244638E-5</v>
      </c>
      <c r="R79" s="2">
        <f>IF(P79&lt;$R$2,N79,[1]payroll!$F79*$R$2)</f>
        <v>122.95936951669313</v>
      </c>
      <c r="T79" s="10">
        <f t="shared" si="7"/>
        <v>0</v>
      </c>
      <c r="V79" s="1">
        <f t="shared" si="8"/>
        <v>1</v>
      </c>
    </row>
    <row r="80" spans="1:22">
      <c r="A80" s="1" t="s">
        <v>471</v>
      </c>
      <c r="B80" s="1" t="s">
        <v>520</v>
      </c>
      <c r="C80" s="5">
        <v>0</v>
      </c>
      <c r="D80" s="5">
        <v>0</v>
      </c>
      <c r="E80" s="5">
        <v>0</v>
      </c>
      <c r="F80" s="2"/>
      <c r="G80" s="2">
        <f t="shared" si="9"/>
        <v>0</v>
      </c>
      <c r="H80" s="8">
        <v>1</v>
      </c>
      <c r="J80" s="2">
        <f t="shared" si="5"/>
        <v>0</v>
      </c>
      <c r="L80" s="9">
        <f t="shared" si="6"/>
        <v>0</v>
      </c>
      <c r="N80" s="2">
        <f>L80*([1]assessment!$J$272*[1]assessment!$F$3)</f>
        <v>0</v>
      </c>
      <c r="P80" s="7">
        <f>N80/[1]payroll!$F80</f>
        <v>0</v>
      </c>
      <c r="R80" s="2">
        <f>IF(P80&lt;$R$2,N80,[1]payroll!$F80*$R$2)</f>
        <v>0</v>
      </c>
      <c r="T80" s="10">
        <f t="shared" si="7"/>
        <v>0</v>
      </c>
      <c r="V80" s="1" t="e">
        <f t="shared" si="8"/>
        <v>#DIV/0!</v>
      </c>
    </row>
    <row r="81" spans="1:22">
      <c r="A81" s="1" t="s">
        <v>123</v>
      </c>
      <c r="B81" s="1" t="s">
        <v>481</v>
      </c>
      <c r="C81" s="5">
        <v>0</v>
      </c>
      <c r="D81" s="5">
        <v>0</v>
      </c>
      <c r="E81" s="5">
        <v>0</v>
      </c>
      <c r="F81" s="2"/>
      <c r="G81" s="2">
        <f t="shared" si="9"/>
        <v>0</v>
      </c>
      <c r="H81" s="8">
        <v>1</v>
      </c>
      <c r="J81" s="2">
        <f t="shared" si="5"/>
        <v>0</v>
      </c>
      <c r="L81" s="9">
        <f t="shared" si="6"/>
        <v>0</v>
      </c>
      <c r="N81" s="2">
        <f>L81*([1]assessment!$J$272*[1]assessment!$F$3)</f>
        <v>0</v>
      </c>
      <c r="P81" s="7">
        <f>N81/[1]payroll!$F81</f>
        <v>0</v>
      </c>
      <c r="R81" s="2">
        <f>IF(P81&lt;$R$2,N81,[1]payroll!$F81*$R$2)</f>
        <v>0</v>
      </c>
      <c r="T81" s="10">
        <f t="shared" si="7"/>
        <v>0</v>
      </c>
      <c r="V81" s="1" t="e">
        <f t="shared" si="8"/>
        <v>#DIV/0!</v>
      </c>
    </row>
    <row r="82" spans="1:22">
      <c r="A82" s="1" t="s">
        <v>124</v>
      </c>
      <c r="B82" s="1" t="s">
        <v>125</v>
      </c>
      <c r="C82" s="5">
        <v>0</v>
      </c>
      <c r="D82" s="5">
        <v>0</v>
      </c>
      <c r="E82" s="5">
        <v>0</v>
      </c>
      <c r="F82" s="2"/>
      <c r="G82" s="2">
        <f t="shared" si="9"/>
        <v>0</v>
      </c>
      <c r="H82" s="8">
        <v>1</v>
      </c>
      <c r="J82" s="2">
        <f t="shared" si="5"/>
        <v>0</v>
      </c>
      <c r="L82" s="9">
        <f t="shared" si="6"/>
        <v>0</v>
      </c>
      <c r="N82" s="2">
        <f>L82*([1]assessment!$J$272*[1]assessment!$F$3)</f>
        <v>0</v>
      </c>
      <c r="P82" s="7">
        <f>N82/[1]payroll!$F82</f>
        <v>0</v>
      </c>
      <c r="R82" s="2">
        <f>IF(P82&lt;$R$2,N82,[1]payroll!$F82*$R$2)</f>
        <v>0</v>
      </c>
      <c r="T82" s="10">
        <f t="shared" si="7"/>
        <v>0</v>
      </c>
      <c r="V82" s="1" t="e">
        <f t="shared" si="8"/>
        <v>#DIV/0!</v>
      </c>
    </row>
    <row r="83" spans="1:22">
      <c r="A83" s="1" t="s">
        <v>126</v>
      </c>
      <c r="B83" s="1" t="s">
        <v>521</v>
      </c>
      <c r="C83" s="5">
        <v>1848.87</v>
      </c>
      <c r="D83" s="5">
        <v>0</v>
      </c>
      <c r="E83" s="5">
        <v>925.14</v>
      </c>
      <c r="F83" s="2"/>
      <c r="G83" s="2">
        <f t="shared" si="9"/>
        <v>924.67</v>
      </c>
      <c r="H83" s="8">
        <v>1</v>
      </c>
      <c r="J83" s="2">
        <f t="shared" si="5"/>
        <v>924.67</v>
      </c>
      <c r="L83" s="9">
        <f t="shared" si="6"/>
        <v>2.5537044964212115E-5</v>
      </c>
      <c r="N83" s="2">
        <f>L83*([1]assessment!$J$272*[1]assessment!$F$3)</f>
        <v>919.75332515303182</v>
      </c>
      <c r="P83" s="7">
        <f>N83/[1]payroll!$F83</f>
        <v>1.1232148156023552E-4</v>
      </c>
      <c r="R83" s="2">
        <f>IF(P83&lt;$R$2,N83,[1]payroll!$F83*$R$2)</f>
        <v>919.75332515303182</v>
      </c>
      <c r="T83" s="10">
        <f t="shared" si="7"/>
        <v>0</v>
      </c>
      <c r="V83" s="1">
        <f t="shared" si="8"/>
        <v>1</v>
      </c>
    </row>
    <row r="84" spans="1:22">
      <c r="A84" s="1" t="s">
        <v>127</v>
      </c>
      <c r="B84" s="1" t="s">
        <v>128</v>
      </c>
      <c r="C84" s="5">
        <v>0</v>
      </c>
      <c r="D84" s="5">
        <v>0</v>
      </c>
      <c r="E84" s="5">
        <v>0</v>
      </c>
      <c r="F84" s="2"/>
      <c r="G84" s="2">
        <f t="shared" si="9"/>
        <v>0</v>
      </c>
      <c r="H84" s="8">
        <v>1</v>
      </c>
      <c r="J84" s="2">
        <f t="shared" si="5"/>
        <v>0</v>
      </c>
      <c r="L84" s="9">
        <f t="shared" si="6"/>
        <v>0</v>
      </c>
      <c r="N84" s="2">
        <f>L84*([1]assessment!$J$272*[1]assessment!$F$3)</f>
        <v>0</v>
      </c>
      <c r="P84" s="7">
        <f>N84/[1]payroll!$F84</f>
        <v>0</v>
      </c>
      <c r="R84" s="2">
        <f>IF(P84&lt;$R$2,N84,[1]payroll!$F84*$R$2)</f>
        <v>0</v>
      </c>
      <c r="T84" s="10">
        <f t="shared" si="7"/>
        <v>0</v>
      </c>
      <c r="V84" s="1" t="e">
        <f t="shared" si="8"/>
        <v>#DIV/0!</v>
      </c>
    </row>
    <row r="85" spans="1:22">
      <c r="A85" s="1" t="s">
        <v>557</v>
      </c>
      <c r="B85" s="1" t="s">
        <v>558</v>
      </c>
      <c r="C85" s="5">
        <v>0</v>
      </c>
      <c r="D85" s="5">
        <v>0</v>
      </c>
      <c r="E85" s="5">
        <v>0</v>
      </c>
      <c r="F85" s="2"/>
      <c r="G85" s="2">
        <f>IF(SUM(C85:E85)&gt;0,AVERAGE(C85:E85),0)</f>
        <v>0</v>
      </c>
      <c r="H85" s="8">
        <v>1</v>
      </c>
      <c r="J85" s="2">
        <f>+G85*H85</f>
        <v>0</v>
      </c>
      <c r="L85" s="9">
        <f t="shared" si="6"/>
        <v>0</v>
      </c>
      <c r="N85" s="2">
        <f>L85*([1]assessment!$J$272*[1]assessment!$F$3)</f>
        <v>0</v>
      </c>
      <c r="P85" s="7">
        <f>N85/[1]payroll!$F85</f>
        <v>0</v>
      </c>
      <c r="R85" s="2">
        <f>IF(P85&lt;$R$2,N85,[1]payroll!$F85*$R$2)</f>
        <v>0</v>
      </c>
      <c r="T85" s="10">
        <f>+N85-R85</f>
        <v>0</v>
      </c>
      <c r="V85" s="1" t="e">
        <f>+R85/N85</f>
        <v>#DIV/0!</v>
      </c>
    </row>
    <row r="86" spans="1:22">
      <c r="A86" s="1" t="s">
        <v>129</v>
      </c>
      <c r="B86" s="1" t="s">
        <v>130</v>
      </c>
      <c r="C86" s="5">
        <v>0</v>
      </c>
      <c r="D86" s="5">
        <v>0</v>
      </c>
      <c r="E86" s="5">
        <v>0</v>
      </c>
      <c r="F86" s="2"/>
      <c r="G86" s="2">
        <f t="shared" si="9"/>
        <v>0</v>
      </c>
      <c r="H86" s="8">
        <v>1</v>
      </c>
      <c r="J86" s="2">
        <f t="shared" si="5"/>
        <v>0</v>
      </c>
      <c r="L86" s="9">
        <f t="shared" si="6"/>
        <v>0</v>
      </c>
      <c r="N86" s="2">
        <f>L86*([1]assessment!$J$272*[1]assessment!$F$3)</f>
        <v>0</v>
      </c>
      <c r="P86" s="7">
        <f>N86/[1]payroll!$F86</f>
        <v>0</v>
      </c>
      <c r="R86" s="2">
        <f>IF(P86&lt;$R$2,N86,[1]payroll!$F86*$R$2)</f>
        <v>0</v>
      </c>
      <c r="T86" s="10">
        <f t="shared" si="7"/>
        <v>0</v>
      </c>
      <c r="V86" s="1" t="e">
        <f t="shared" si="8"/>
        <v>#DIV/0!</v>
      </c>
    </row>
    <row r="87" spans="1:22">
      <c r="A87" s="1" t="s">
        <v>131</v>
      </c>
      <c r="B87" s="1" t="s">
        <v>132</v>
      </c>
      <c r="C87" s="5">
        <v>0</v>
      </c>
      <c r="D87" s="5">
        <v>0</v>
      </c>
      <c r="E87" s="5">
        <v>0</v>
      </c>
      <c r="F87" s="2"/>
      <c r="G87" s="2">
        <f t="shared" si="9"/>
        <v>0</v>
      </c>
      <c r="H87" s="8">
        <v>1</v>
      </c>
      <c r="J87" s="2">
        <f t="shared" si="5"/>
        <v>0</v>
      </c>
      <c r="L87" s="9">
        <f t="shared" si="6"/>
        <v>0</v>
      </c>
      <c r="N87" s="2">
        <f>L87*([1]assessment!$J$272*[1]assessment!$F$3)</f>
        <v>0</v>
      </c>
      <c r="P87" s="7">
        <f>N87/[1]payroll!$F87</f>
        <v>0</v>
      </c>
      <c r="R87" s="2">
        <f>IF(P87&lt;$R$2,N87,[1]payroll!$F87*$R$2)</f>
        <v>0</v>
      </c>
      <c r="T87" s="10">
        <f t="shared" si="7"/>
        <v>0</v>
      </c>
      <c r="V87" s="1" t="e">
        <f t="shared" si="8"/>
        <v>#DIV/0!</v>
      </c>
    </row>
    <row r="88" spans="1:22">
      <c r="A88" s="1" t="s">
        <v>133</v>
      </c>
      <c r="B88" s="1" t="s">
        <v>134</v>
      </c>
      <c r="C88" s="5">
        <v>0</v>
      </c>
      <c r="D88" s="5">
        <v>618.05999999999995</v>
      </c>
      <c r="E88" s="5">
        <v>180</v>
      </c>
      <c r="F88" s="2"/>
      <c r="G88" s="2">
        <f t="shared" si="9"/>
        <v>266.02</v>
      </c>
      <c r="H88" s="8">
        <v>1</v>
      </c>
      <c r="J88" s="2">
        <f t="shared" si="5"/>
        <v>266.02</v>
      </c>
      <c r="L88" s="9">
        <f t="shared" si="6"/>
        <v>7.3467990757564392E-6</v>
      </c>
      <c r="N88" s="2">
        <f>L88*([1]assessment!$J$272*[1]assessment!$F$3)</f>
        <v>264.60551283940163</v>
      </c>
      <c r="P88" s="7">
        <f>N88/[1]payroll!$F88</f>
        <v>4.0891696789769152E-5</v>
      </c>
      <c r="R88" s="2">
        <f>IF(P88&lt;$R$2,N88,[1]payroll!$F88*$R$2)</f>
        <v>264.60551283940163</v>
      </c>
      <c r="T88" s="10">
        <f t="shared" si="7"/>
        <v>0</v>
      </c>
      <c r="V88" s="1">
        <f t="shared" si="8"/>
        <v>1</v>
      </c>
    </row>
    <row r="89" spans="1:22">
      <c r="A89" s="1" t="s">
        <v>135</v>
      </c>
      <c r="B89" s="1" t="s">
        <v>136</v>
      </c>
      <c r="C89" s="5">
        <f>64126.44+112+5842882.88+56784.66+16603.11+2250.11+110+6253.29+4261.91+46713.26+470+5599.08+3016.71+6042.02+22986.13+970+4660.38+10088.78+1210.68+15637.63+4977.41+4501.75+3079.27+30+40016.18+4556.72+2300.3+8930.09</f>
        <v>6179170.7899999991</v>
      </c>
      <c r="D89" s="5">
        <f>55475.1+6371231.99+131878.63+13132.96+1125.47+4991.71+18368.74+47852.34+995.48+22775.32+502+479.14+7520.14+5319.14+3215.67+4369.53+23154.62+949.36+9024.56</f>
        <v>6722361.8999999994</v>
      </c>
      <c r="E89" s="5">
        <f>57485.6+8402952.17+47791.45+55090.72+4443.12-67.7+49832.37-152.5+1392.74+22373.97+474.64+6147.99+5732.06+1404.66+1634.86+35053.59+903.1+8632</f>
        <v>8701124.8399999999</v>
      </c>
      <c r="F89" s="2"/>
      <c r="G89" s="2">
        <f t="shared" si="9"/>
        <v>7200885.8433333328</v>
      </c>
      <c r="H89" s="8">
        <v>1</v>
      </c>
      <c r="J89" s="2">
        <f t="shared" si="5"/>
        <v>7200885.8433333328</v>
      </c>
      <c r="L89" s="9">
        <f t="shared" si="6"/>
        <v>0.19887024080305601</v>
      </c>
      <c r="N89" s="2">
        <f>L89*([1]assessment!$J$272*[1]assessment!$F$3)</f>
        <v>7162597.1410916625</v>
      </c>
      <c r="P89" s="7">
        <f>N89/[1]payroll!$F89</f>
        <v>3.6851018469438402E-3</v>
      </c>
      <c r="R89" s="2">
        <f>IF(P89&lt;$R$2,N89,[1]payroll!$F89*$R$2)</f>
        <v>7162597.1410916625</v>
      </c>
      <c r="T89" s="10">
        <f t="shared" si="7"/>
        <v>0</v>
      </c>
      <c r="V89" s="1">
        <f t="shared" si="8"/>
        <v>1</v>
      </c>
    </row>
    <row r="90" spans="1:22">
      <c r="A90" s="1" t="s">
        <v>137</v>
      </c>
      <c r="B90" s="1" t="s">
        <v>474</v>
      </c>
      <c r="C90" s="5">
        <v>1090148.01</v>
      </c>
      <c r="D90" s="5">
        <v>511088.26</v>
      </c>
      <c r="E90" s="5">
        <v>755596.93</v>
      </c>
      <c r="F90" s="2"/>
      <c r="G90" s="2">
        <f t="shared" si="9"/>
        <v>785611.06666666677</v>
      </c>
      <c r="H90" s="8">
        <v>1</v>
      </c>
      <c r="J90" s="2">
        <f t="shared" si="5"/>
        <v>785611.06666666677</v>
      </c>
      <c r="L90" s="9">
        <f t="shared" si="6"/>
        <v>2.1696589198145624E-2</v>
      </c>
      <c r="N90" s="2">
        <f>L90*([1]assessment!$J$272*[1]assessment!$F$3)</f>
        <v>781433.79891603172</v>
      </c>
      <c r="P90" s="7">
        <f>N90/[1]payroll!$F90</f>
        <v>1.1812563838696512E-3</v>
      </c>
      <c r="R90" s="2">
        <f>IF(P90&lt;$R$2,N90,[1]payroll!$F90*$R$2)</f>
        <v>781433.79891603172</v>
      </c>
      <c r="T90" s="10">
        <f t="shared" si="7"/>
        <v>0</v>
      </c>
      <c r="V90" s="1">
        <f t="shared" si="8"/>
        <v>1</v>
      </c>
    </row>
    <row r="91" spans="1:22">
      <c r="A91" s="1" t="s">
        <v>138</v>
      </c>
      <c r="B91" s="1" t="s">
        <v>139</v>
      </c>
      <c r="C91" s="5">
        <v>0</v>
      </c>
      <c r="D91" s="5">
        <v>0</v>
      </c>
      <c r="E91" s="5">
        <v>0</v>
      </c>
      <c r="F91" s="2"/>
      <c r="G91" s="2">
        <f t="shared" si="9"/>
        <v>0</v>
      </c>
      <c r="H91" s="8">
        <v>1</v>
      </c>
      <c r="J91" s="2">
        <f t="shared" si="5"/>
        <v>0</v>
      </c>
      <c r="L91" s="9">
        <f t="shared" si="6"/>
        <v>0</v>
      </c>
      <c r="N91" s="2">
        <f>L91*([1]assessment!$J$272*[1]assessment!$F$3)</f>
        <v>0</v>
      </c>
      <c r="P91" s="7">
        <f>N91/[1]payroll!$F91</f>
        <v>0</v>
      </c>
      <c r="R91" s="2">
        <f>IF(P91&lt;$R$2,N91,[1]payroll!$F91*$R$2)</f>
        <v>0</v>
      </c>
      <c r="T91" s="10">
        <f t="shared" si="7"/>
        <v>0</v>
      </c>
      <c r="V91" s="1" t="e">
        <f t="shared" si="8"/>
        <v>#DIV/0!</v>
      </c>
    </row>
    <row r="92" spans="1:22">
      <c r="A92" s="1" t="s">
        <v>473</v>
      </c>
      <c r="B92" s="1" t="s">
        <v>477</v>
      </c>
      <c r="C92" s="5">
        <f>49113.28+162995.48+27943.6+787.9</f>
        <v>240840.26</v>
      </c>
      <c r="D92" s="5">
        <f>136161.41+35938.77+26924.89</f>
        <v>199025.07</v>
      </c>
      <c r="E92" s="5">
        <f>60278.67+92590.39+26416</f>
        <v>179285.06</v>
      </c>
      <c r="F92" s="2"/>
      <c r="G92" s="2">
        <f t="shared" si="9"/>
        <v>206383.46333333335</v>
      </c>
      <c r="H92" s="8">
        <v>1</v>
      </c>
      <c r="J92" s="2">
        <f t="shared" si="5"/>
        <v>206383.46333333335</v>
      </c>
      <c r="L92" s="9">
        <f t="shared" si="6"/>
        <v>5.6997888792900782E-3</v>
      </c>
      <c r="N92" s="2">
        <f>L92*([1]assessment!$J$272*[1]assessment!$F$3)</f>
        <v>205286.07682463169</v>
      </c>
      <c r="P92" s="7">
        <f>N92/[1]payroll!$F92</f>
        <v>9.0917232213906464E-4</v>
      </c>
      <c r="R92" s="2">
        <f>IF(P92&lt;$R$2,N92,[1]payroll!$F92*$R$2)</f>
        <v>205286.07682463169</v>
      </c>
      <c r="T92" s="10">
        <f t="shared" si="7"/>
        <v>0</v>
      </c>
      <c r="V92" s="1">
        <f t="shared" si="8"/>
        <v>1</v>
      </c>
    </row>
    <row r="93" spans="1:22">
      <c r="A93" s="1" t="s">
        <v>493</v>
      </c>
      <c r="B93" s="1" t="s">
        <v>531</v>
      </c>
      <c r="C93" s="5">
        <v>0</v>
      </c>
      <c r="D93" s="5">
        <v>0</v>
      </c>
      <c r="E93" s="5">
        <v>0</v>
      </c>
      <c r="F93" s="2"/>
      <c r="G93" s="2">
        <f t="shared" si="9"/>
        <v>0</v>
      </c>
      <c r="H93" s="8">
        <v>1</v>
      </c>
      <c r="J93" s="2">
        <f t="shared" si="5"/>
        <v>0</v>
      </c>
      <c r="L93" s="9">
        <f t="shared" si="6"/>
        <v>0</v>
      </c>
      <c r="N93" s="2">
        <f>L93*([1]assessment!$J$272*[1]assessment!$F$3)</f>
        <v>0</v>
      </c>
      <c r="P93" s="7">
        <f>N93/[1]payroll!$F93</f>
        <v>0</v>
      </c>
      <c r="R93" s="2">
        <f>IF(P93&lt;$R$2,N93,[1]payroll!$F93*$R$2)</f>
        <v>0</v>
      </c>
      <c r="T93" s="10">
        <f t="shared" si="7"/>
        <v>0</v>
      </c>
      <c r="V93" s="1" t="e">
        <f t="shared" si="8"/>
        <v>#DIV/0!</v>
      </c>
    </row>
    <row r="94" spans="1:22">
      <c r="A94" s="1" t="s">
        <v>140</v>
      </c>
      <c r="B94" s="1" t="s">
        <v>141</v>
      </c>
      <c r="C94" s="5">
        <v>75758.679999999993</v>
      </c>
      <c r="D94" s="5">
        <v>17319.419999999998</v>
      </c>
      <c r="E94" s="5">
        <v>23519.87</v>
      </c>
      <c r="F94" s="2"/>
      <c r="G94" s="2">
        <f t="shared" si="9"/>
        <v>38865.99</v>
      </c>
      <c r="H94" s="8">
        <v>1</v>
      </c>
      <c r="J94" s="2">
        <f t="shared" si="5"/>
        <v>38865.99</v>
      </c>
      <c r="L94" s="9">
        <f t="shared" si="6"/>
        <v>1.0733802699434592E-3</v>
      </c>
      <c r="N94" s="2">
        <f>L94*([1]assessment!$J$272*[1]assessment!$F$3)</f>
        <v>38659.330937377097</v>
      </c>
      <c r="P94" s="7">
        <f>N94/[1]payroll!$F94</f>
        <v>9.3594181216589652E-4</v>
      </c>
      <c r="R94" s="2">
        <f>IF(P94&lt;$R$2,N94,[1]payroll!$F94*$R$2)</f>
        <v>38659.330937377097</v>
      </c>
      <c r="T94" s="10">
        <f t="shared" si="7"/>
        <v>0</v>
      </c>
      <c r="V94" s="1">
        <f t="shared" si="8"/>
        <v>1</v>
      </c>
    </row>
    <row r="95" spans="1:22">
      <c r="A95" s="1" t="s">
        <v>142</v>
      </c>
      <c r="B95" s="1" t="s">
        <v>143</v>
      </c>
      <c r="C95" s="5">
        <v>125483.81</v>
      </c>
      <c r="D95" s="5">
        <v>43107.58</v>
      </c>
      <c r="E95" s="5">
        <v>29127.86</v>
      </c>
      <c r="F95" s="2"/>
      <c r="G95" s="2">
        <f t="shared" si="9"/>
        <v>65906.416666666672</v>
      </c>
      <c r="H95" s="8">
        <v>1</v>
      </c>
      <c r="J95" s="2">
        <f t="shared" si="5"/>
        <v>65906.416666666672</v>
      </c>
      <c r="L95" s="9">
        <f t="shared" si="6"/>
        <v>1.8201684123490172E-3</v>
      </c>
      <c r="N95" s="2">
        <f>L95*([1]assessment!$J$272*[1]assessment!$F$3)</f>
        <v>65555.977676455252</v>
      </c>
      <c r="P95" s="7">
        <f>N95/[1]payroll!$F95</f>
        <v>5.9967738209803154E-3</v>
      </c>
      <c r="R95" s="2">
        <f>IF(P95&lt;$R$2,N95,[1]payroll!$F95*$R$2)</f>
        <v>65555.977676455252</v>
      </c>
      <c r="T95" s="10">
        <f t="shared" si="7"/>
        <v>0</v>
      </c>
      <c r="V95" s="1">
        <f t="shared" si="8"/>
        <v>1</v>
      </c>
    </row>
    <row r="96" spans="1:22">
      <c r="A96" s="1" t="s">
        <v>144</v>
      </c>
      <c r="B96" s="1" t="s">
        <v>145</v>
      </c>
      <c r="C96" s="5">
        <v>0</v>
      </c>
      <c r="D96" s="5">
        <v>0</v>
      </c>
      <c r="E96" s="5">
        <v>0</v>
      </c>
      <c r="F96" s="2"/>
      <c r="G96" s="2">
        <f t="shared" si="9"/>
        <v>0</v>
      </c>
      <c r="H96" s="8">
        <v>1</v>
      </c>
      <c r="J96" s="2">
        <f t="shared" si="5"/>
        <v>0</v>
      </c>
      <c r="L96" s="9">
        <f t="shared" si="6"/>
        <v>0</v>
      </c>
      <c r="N96" s="2">
        <f>L96*([1]assessment!$J$272*[1]assessment!$F$3)</f>
        <v>0</v>
      </c>
      <c r="P96" s="7">
        <f>N96/[1]payroll!$F96</f>
        <v>0</v>
      </c>
      <c r="R96" s="2">
        <f>IF(P96&lt;$R$2,N96,[1]payroll!$F96*$R$2)</f>
        <v>0</v>
      </c>
      <c r="T96" s="10">
        <f t="shared" si="7"/>
        <v>0</v>
      </c>
      <c r="V96" s="1" t="e">
        <f t="shared" si="8"/>
        <v>#DIV/0!</v>
      </c>
    </row>
    <row r="97" spans="1:22">
      <c r="A97" s="1" t="s">
        <v>146</v>
      </c>
      <c r="B97" s="1" t="s">
        <v>147</v>
      </c>
      <c r="C97" s="5">
        <v>0</v>
      </c>
      <c r="D97" s="5">
        <v>0</v>
      </c>
      <c r="E97" s="5">
        <v>557.80999999999995</v>
      </c>
      <c r="F97" s="2"/>
      <c r="G97" s="2">
        <f t="shared" si="9"/>
        <v>185.93666666666664</v>
      </c>
      <c r="H97" s="8">
        <v>1</v>
      </c>
      <c r="J97" s="2">
        <f t="shared" si="5"/>
        <v>185.93666666666664</v>
      </c>
      <c r="L97" s="9">
        <f t="shared" si="6"/>
        <v>5.1351001083223055E-6</v>
      </c>
      <c r="N97" s="2">
        <f>L97*([1]assessment!$J$272*[1]assessment!$F$3)</f>
        <v>184.94800029690327</v>
      </c>
      <c r="P97" s="7">
        <f>N97/[1]payroll!$F97</f>
        <v>5.6396454262734235E-6</v>
      </c>
      <c r="R97" s="2">
        <f>IF(P97&lt;$R$2,N97,[1]payroll!$F97*$R$2)</f>
        <v>184.94800029690327</v>
      </c>
      <c r="T97" s="10">
        <f t="shared" si="7"/>
        <v>0</v>
      </c>
      <c r="V97" s="1">
        <f t="shared" si="8"/>
        <v>1</v>
      </c>
    </row>
    <row r="98" spans="1:22">
      <c r="A98" s="1" t="s">
        <v>148</v>
      </c>
      <c r="B98" s="1" t="s">
        <v>468</v>
      </c>
      <c r="C98" s="5">
        <v>3795.21</v>
      </c>
      <c r="D98" s="5">
        <v>7307.41</v>
      </c>
      <c r="E98" s="5">
        <v>42369.29</v>
      </c>
      <c r="F98" s="2"/>
      <c r="G98" s="2">
        <f t="shared" si="9"/>
        <v>17823.97</v>
      </c>
      <c r="H98" s="8">
        <v>1</v>
      </c>
      <c r="J98" s="2">
        <f t="shared" si="5"/>
        <v>17823.97</v>
      </c>
      <c r="L98" s="9">
        <f t="shared" si="6"/>
        <v>4.9225293708108611E-4</v>
      </c>
      <c r="N98" s="2">
        <f>L98*([1]assessment!$J$272*[1]assessment!$F$3)</f>
        <v>17729.196010390613</v>
      </c>
      <c r="P98" s="7">
        <f>N98/[1]payroll!$F98</f>
        <v>9.2814616848283291E-5</v>
      </c>
      <c r="R98" s="2">
        <f>IF(P98&lt;$R$2,N98,[1]payroll!$F98*$R$2)</f>
        <v>17729.196010390613</v>
      </c>
      <c r="T98" s="10">
        <f t="shared" si="7"/>
        <v>0</v>
      </c>
      <c r="V98" s="1">
        <f t="shared" si="8"/>
        <v>1</v>
      </c>
    </row>
    <row r="99" spans="1:22">
      <c r="A99" s="1" t="s">
        <v>149</v>
      </c>
      <c r="B99" s="1" t="s">
        <v>522</v>
      </c>
      <c r="C99" s="5">
        <v>0</v>
      </c>
      <c r="D99" s="5">
        <v>0</v>
      </c>
      <c r="E99" s="5">
        <v>0</v>
      </c>
      <c r="F99" s="2"/>
      <c r="G99" s="2">
        <f t="shared" si="9"/>
        <v>0</v>
      </c>
      <c r="H99" s="8">
        <v>1</v>
      </c>
      <c r="J99" s="2">
        <f t="shared" si="5"/>
        <v>0</v>
      </c>
      <c r="L99" s="9">
        <f t="shared" si="6"/>
        <v>0</v>
      </c>
      <c r="N99" s="2">
        <f>L99*([1]assessment!$J$272*[1]assessment!$F$3)</f>
        <v>0</v>
      </c>
      <c r="P99" s="7">
        <f>N99/[1]payroll!$F99</f>
        <v>0</v>
      </c>
      <c r="R99" s="2">
        <f>IF(P99&lt;$R$2,N99,[1]payroll!$F99*$R$2)</f>
        <v>0</v>
      </c>
      <c r="T99" s="10">
        <f t="shared" si="7"/>
        <v>0</v>
      </c>
      <c r="V99" s="1" t="e">
        <f t="shared" si="8"/>
        <v>#DIV/0!</v>
      </c>
    </row>
    <row r="100" spans="1:22">
      <c r="A100" s="1" t="s">
        <v>496</v>
      </c>
      <c r="B100" s="1" t="s">
        <v>497</v>
      </c>
      <c r="C100" s="5">
        <v>49183.59</v>
      </c>
      <c r="D100" s="5">
        <v>84231.88</v>
      </c>
      <c r="E100" s="5">
        <v>87367.28</v>
      </c>
      <c r="F100" s="2"/>
      <c r="G100" s="2">
        <f t="shared" si="9"/>
        <v>73594.25</v>
      </c>
      <c r="H100" s="8">
        <v>1</v>
      </c>
      <c r="J100" s="2">
        <f t="shared" si="5"/>
        <v>73594.25</v>
      </c>
      <c r="L100" s="9">
        <f t="shared" si="6"/>
        <v>2.032486910311211E-3</v>
      </c>
      <c r="N100" s="2">
        <f>L100*([1]assessment!$J$272*[1]assessment!$F$3)</f>
        <v>73202.933100071939</v>
      </c>
      <c r="P100" s="7">
        <f>N100/[1]payroll!$F100</f>
        <v>1.5183263063214927E-3</v>
      </c>
      <c r="R100" s="2">
        <f>IF(P100&lt;$R$2,N100,[1]payroll!$F100*$R$2)</f>
        <v>73202.933100071939</v>
      </c>
      <c r="T100" s="10">
        <f t="shared" si="7"/>
        <v>0</v>
      </c>
      <c r="V100" s="1">
        <f t="shared" si="8"/>
        <v>1</v>
      </c>
    </row>
    <row r="101" spans="1:22">
      <c r="A101" s="11" t="s">
        <v>536</v>
      </c>
      <c r="B101" s="1" t="s">
        <v>537</v>
      </c>
      <c r="C101" s="5">
        <f>1789343.55+4768+308+52995.95</f>
        <v>1847415.5</v>
      </c>
      <c r="D101" s="5">
        <f>1693181.55+67869.47</f>
        <v>1761051.02</v>
      </c>
      <c r="E101" s="5">
        <f>1926339.78+53395.72</f>
        <v>1979735.5</v>
      </c>
      <c r="F101" s="2"/>
      <c r="G101" s="2">
        <f t="shared" si="9"/>
        <v>1862734.0066666666</v>
      </c>
      <c r="H101" s="8">
        <v>1</v>
      </c>
      <c r="J101" s="2">
        <f t="shared" si="5"/>
        <v>1862734.0066666666</v>
      </c>
      <c r="L101" s="9">
        <f t="shared" si="6"/>
        <v>5.1443998490935859E-2</v>
      </c>
      <c r="N101" s="2">
        <f>L101*([1]assessment!$J$272*[1]assessment!$F$3)</f>
        <v>1852829.4380776889</v>
      </c>
      <c r="P101" s="7">
        <f>N101/[1]payroll!$F101</f>
        <v>1.5476376293449024E-2</v>
      </c>
      <c r="R101" s="2">
        <f>IF(P101&lt;$R$2,N101,[1]payroll!$F101*$R$2)</f>
        <v>1852829.4380776889</v>
      </c>
      <c r="T101" s="10">
        <f t="shared" si="7"/>
        <v>0</v>
      </c>
      <c r="V101" s="1">
        <f t="shared" si="8"/>
        <v>1</v>
      </c>
    </row>
    <row r="102" spans="1:22">
      <c r="A102" s="1" t="s">
        <v>150</v>
      </c>
      <c r="B102" s="1" t="s">
        <v>151</v>
      </c>
      <c r="C102" s="5">
        <f>15941741.7+253.74</f>
        <v>15941995.439999999</v>
      </c>
      <c r="D102" s="5">
        <v>17309252.77</v>
      </c>
      <c r="E102" s="5">
        <v>16427795.449999999</v>
      </c>
      <c r="F102" s="2"/>
      <c r="G102" s="2">
        <f t="shared" si="9"/>
        <v>16559681.219999999</v>
      </c>
      <c r="H102" s="8">
        <v>1</v>
      </c>
      <c r="J102" s="2">
        <f t="shared" si="5"/>
        <v>16559681.219999999</v>
      </c>
      <c r="L102" s="9">
        <f t="shared" si="6"/>
        <v>0.45733648102367214</v>
      </c>
      <c r="N102" s="2">
        <f>L102*([1]assessment!$J$272*[1]assessment!$F$3)</f>
        <v>16471629.733385116</v>
      </c>
      <c r="P102" s="7">
        <f>N102/[1]payroll!$F102</f>
        <v>1.1005661272102436E-2</v>
      </c>
      <c r="R102" s="2">
        <f>IF(P102&lt;$R$2,N102,[1]payroll!$F102*$R$2)</f>
        <v>16471629.733385116</v>
      </c>
      <c r="T102" s="10">
        <f t="shared" si="7"/>
        <v>0</v>
      </c>
      <c r="V102" s="1">
        <f t="shared" si="8"/>
        <v>1</v>
      </c>
    </row>
    <row r="103" spans="1:22">
      <c r="A103" s="1" t="s">
        <v>499</v>
      </c>
      <c r="B103" s="1" t="s">
        <v>498</v>
      </c>
      <c r="C103" s="5">
        <v>66684.58</v>
      </c>
      <c r="D103" s="5">
        <v>39883.65</v>
      </c>
      <c r="E103" s="5">
        <v>128155.51</v>
      </c>
      <c r="F103" s="2"/>
      <c r="G103" s="2">
        <f t="shared" si="9"/>
        <v>78241.246666666659</v>
      </c>
      <c r="H103" s="8">
        <v>1</v>
      </c>
      <c r="J103" s="2">
        <f t="shared" si="5"/>
        <v>78241.246666666659</v>
      </c>
      <c r="L103" s="9">
        <f t="shared" si="6"/>
        <v>2.160825196213436E-3</v>
      </c>
      <c r="N103" s="2">
        <f>L103*([1]assessment!$J$272*[1]assessment!$F$3)</f>
        <v>77825.220657948492</v>
      </c>
      <c r="P103" s="7">
        <f>N103/[1]payroll!$F103</f>
        <v>1.3679472564264276E-3</v>
      </c>
      <c r="R103" s="2">
        <f>IF(P103&lt;$R$2,N103,[1]payroll!$F103*$R$2)</f>
        <v>77825.220657948492</v>
      </c>
      <c r="T103" s="10">
        <f t="shared" si="7"/>
        <v>0</v>
      </c>
      <c r="V103" s="1">
        <f t="shared" si="8"/>
        <v>1</v>
      </c>
    </row>
    <row r="104" spans="1:22">
      <c r="A104" s="1" t="s">
        <v>152</v>
      </c>
      <c r="B104" s="1" t="s">
        <v>153</v>
      </c>
      <c r="C104" s="5">
        <v>1465.98</v>
      </c>
      <c r="D104" s="5">
        <v>1354.02</v>
      </c>
      <c r="E104" s="5">
        <v>2898.87</v>
      </c>
      <c r="F104" s="2"/>
      <c r="G104" s="2">
        <f t="shared" si="9"/>
        <v>1906.29</v>
      </c>
      <c r="H104" s="8">
        <v>1</v>
      </c>
      <c r="J104" s="2">
        <f t="shared" si="5"/>
        <v>1906.29</v>
      </c>
      <c r="L104" s="9">
        <f t="shared" si="6"/>
        <v>5.2646904782060536E-5</v>
      </c>
      <c r="N104" s="2">
        <f>L104*([1]assessment!$J$272*[1]assessment!$F$3)</f>
        <v>1896.1538345636532</v>
      </c>
      <c r="P104" s="7">
        <f>N104/[1]payroll!$F104</f>
        <v>1.7515210820954648E-5</v>
      </c>
      <c r="R104" s="2">
        <f>IF(P104&lt;$R$2,N104,[1]payroll!$F104*$R$2)</f>
        <v>1896.1538345636532</v>
      </c>
      <c r="T104" s="10">
        <f t="shared" si="7"/>
        <v>0</v>
      </c>
      <c r="V104" s="1">
        <f t="shared" si="8"/>
        <v>1</v>
      </c>
    </row>
    <row r="105" spans="1:22">
      <c r="A105" s="1" t="s">
        <v>565</v>
      </c>
      <c r="B105" s="1" t="s">
        <v>566</v>
      </c>
      <c r="C105" s="5">
        <v>0</v>
      </c>
      <c r="D105" s="5">
        <v>0</v>
      </c>
      <c r="E105" s="5">
        <v>0</v>
      </c>
      <c r="F105" s="2"/>
      <c r="G105" s="2">
        <f t="shared" si="9"/>
        <v>0</v>
      </c>
      <c r="H105" s="8">
        <v>1</v>
      </c>
      <c r="J105" s="2">
        <f t="shared" si="5"/>
        <v>0</v>
      </c>
      <c r="L105" s="9">
        <f t="shared" si="6"/>
        <v>0</v>
      </c>
      <c r="N105" s="2">
        <f>L105*([1]assessment!$J$272*[1]assessment!$F$3)</f>
        <v>0</v>
      </c>
      <c r="P105" s="7">
        <f>N105/[1]payroll!$F105</f>
        <v>0</v>
      </c>
      <c r="R105" s="2">
        <f>IF(P105&lt;$R$2,N105,[1]payroll!$F105*$R$2)</f>
        <v>0</v>
      </c>
      <c r="T105" s="10">
        <f t="shared" si="7"/>
        <v>0</v>
      </c>
      <c r="V105" s="1" t="e">
        <f t="shared" si="8"/>
        <v>#DIV/0!</v>
      </c>
    </row>
    <row r="106" spans="1:22">
      <c r="A106" s="1" t="s">
        <v>154</v>
      </c>
      <c r="B106" s="1" t="s">
        <v>155</v>
      </c>
      <c r="C106" s="5">
        <v>87089.95</v>
      </c>
      <c r="D106" s="5">
        <v>140002.92000000001</v>
      </c>
      <c r="E106" s="5">
        <v>77797.19</v>
      </c>
      <c r="F106" s="2"/>
      <c r="G106" s="2">
        <f t="shared" si="9"/>
        <v>101630.02</v>
      </c>
      <c r="H106" s="8">
        <v>1</v>
      </c>
      <c r="J106" s="2">
        <f t="shared" si="5"/>
        <v>101630.02</v>
      </c>
      <c r="L106" s="9">
        <f t="shared" si="6"/>
        <v>2.8067639162661024E-3</v>
      </c>
      <c r="N106" s="2">
        <f>L106*([1]assessment!$J$272*[1]assessment!$F$3)</f>
        <v>101089.63071189629</v>
      </c>
      <c r="P106" s="7">
        <f>N106/[1]payroll!$F106</f>
        <v>1.1508904707385318E-3</v>
      </c>
      <c r="R106" s="2">
        <f>IF(P106&lt;$R$2,N106,[1]payroll!$F106*$R$2)</f>
        <v>101089.63071189629</v>
      </c>
      <c r="T106" s="10">
        <f t="shared" si="7"/>
        <v>0</v>
      </c>
      <c r="V106" s="1">
        <f t="shared" si="8"/>
        <v>1</v>
      </c>
    </row>
    <row r="107" spans="1:22">
      <c r="A107" s="1" t="s">
        <v>156</v>
      </c>
      <c r="B107" s="1" t="s">
        <v>157</v>
      </c>
      <c r="C107" s="5">
        <v>99759.08</v>
      </c>
      <c r="D107" s="5">
        <v>65669.210000000006</v>
      </c>
      <c r="E107" s="5">
        <v>67743.210000000006</v>
      </c>
      <c r="F107" s="2"/>
      <c r="G107" s="2">
        <f t="shared" si="9"/>
        <v>77723.833333333328</v>
      </c>
      <c r="H107" s="8">
        <v>1</v>
      </c>
      <c r="J107" s="2">
        <f t="shared" si="5"/>
        <v>77723.833333333328</v>
      </c>
      <c r="L107" s="9">
        <f t="shared" si="6"/>
        <v>2.1465355495736446E-3</v>
      </c>
      <c r="N107" s="2">
        <f>L107*([1]assessment!$J$272*[1]assessment!$F$3)</f>
        <v>77310.558525715547</v>
      </c>
      <c r="P107" s="7">
        <f>N107/[1]payroll!$F107</f>
        <v>6.8270789638370138E-4</v>
      </c>
      <c r="R107" s="2">
        <f>IF(P107&lt;$R$2,N107,[1]payroll!$F107*$R$2)</f>
        <v>77310.558525715547</v>
      </c>
      <c r="T107" s="10">
        <f t="shared" si="7"/>
        <v>0</v>
      </c>
      <c r="V107" s="1">
        <f t="shared" si="8"/>
        <v>1</v>
      </c>
    </row>
    <row r="108" spans="1:22">
      <c r="A108" s="1" t="s">
        <v>158</v>
      </c>
      <c r="B108" s="1" t="s">
        <v>159</v>
      </c>
      <c r="C108" s="5">
        <v>322583.12</v>
      </c>
      <c r="D108" s="5">
        <v>375535.38</v>
      </c>
      <c r="E108" s="5">
        <v>342937.41</v>
      </c>
      <c r="F108" s="2"/>
      <c r="G108" s="2">
        <f t="shared" si="9"/>
        <v>347018.63666666666</v>
      </c>
      <c r="H108" s="8">
        <v>1</v>
      </c>
      <c r="J108" s="2">
        <f t="shared" si="5"/>
        <v>347018.63666666666</v>
      </c>
      <c r="L108" s="9">
        <f t="shared" si="6"/>
        <v>9.583776404529459E-3</v>
      </c>
      <c r="N108" s="2">
        <f>L108*([1]assessment!$J$272*[1]assessment!$F$3)</f>
        <v>345173.4618450242</v>
      </c>
      <c r="P108" s="7">
        <f>N108/[1]payroll!$F108</f>
        <v>5.8352583043714829E-4</v>
      </c>
      <c r="R108" s="2">
        <f>IF(P108&lt;$R$2,N108,[1]payroll!$F108*$R$2)</f>
        <v>345173.4618450242</v>
      </c>
      <c r="T108" s="10">
        <f t="shared" si="7"/>
        <v>0</v>
      </c>
      <c r="V108" s="1">
        <f t="shared" si="8"/>
        <v>1</v>
      </c>
    </row>
    <row r="109" spans="1:22">
      <c r="A109" s="1" t="s">
        <v>160</v>
      </c>
      <c r="B109" s="1" t="s">
        <v>161</v>
      </c>
      <c r="C109" s="5">
        <v>111066.06</v>
      </c>
      <c r="D109" s="5">
        <v>104852.15</v>
      </c>
      <c r="E109" s="5">
        <v>185189.51</v>
      </c>
      <c r="F109" s="2"/>
      <c r="G109" s="2">
        <f t="shared" si="9"/>
        <v>133702.57333333333</v>
      </c>
      <c r="H109" s="8">
        <v>1</v>
      </c>
      <c r="J109" s="2">
        <f t="shared" si="5"/>
        <v>133702.57333333333</v>
      </c>
      <c r="L109" s="9">
        <f t="shared" si="6"/>
        <v>3.6925266603698632E-3</v>
      </c>
      <c r="N109" s="2">
        <f>L109*([1]assessment!$J$272*[1]assessment!$F$3)</f>
        <v>132991.64718748356</v>
      </c>
      <c r="P109" s="7">
        <f>N109/[1]payroll!$F109</f>
        <v>1.0217414669268085E-3</v>
      </c>
      <c r="R109" s="2">
        <f>IF(P109&lt;$R$2,N109,[1]payroll!$F109*$R$2)</f>
        <v>132991.64718748356</v>
      </c>
      <c r="T109" s="10">
        <f t="shared" si="7"/>
        <v>0</v>
      </c>
      <c r="V109" s="1">
        <f t="shared" si="8"/>
        <v>1</v>
      </c>
    </row>
    <row r="110" spans="1:22">
      <c r="A110" s="1" t="s">
        <v>162</v>
      </c>
      <c r="B110" s="1" t="s">
        <v>163</v>
      </c>
      <c r="C110" s="5">
        <f>382250.17+3658.89</f>
        <v>385909.06</v>
      </c>
      <c r="D110" s="5">
        <f>616985.74+10256.03</f>
        <v>627241.77</v>
      </c>
      <c r="E110" s="5">
        <f>959287.99+27648.42</f>
        <v>986936.41</v>
      </c>
      <c r="F110" s="2"/>
      <c r="G110" s="2">
        <f t="shared" si="9"/>
        <v>666695.7466666667</v>
      </c>
      <c r="H110" s="8">
        <v>1</v>
      </c>
      <c r="J110" s="2">
        <f t="shared" si="5"/>
        <v>666695.7466666667</v>
      </c>
      <c r="L110" s="9">
        <f t="shared" si="6"/>
        <v>1.8412449046768725E-2</v>
      </c>
      <c r="N110" s="2">
        <f>L110*([1]assessment!$J$272*[1]assessment!$F$3)</f>
        <v>663150.77796624752</v>
      </c>
      <c r="P110" s="7">
        <f>N110/[1]payroll!$F110</f>
        <v>1.2838926055486464E-3</v>
      </c>
      <c r="R110" s="2">
        <f>IF(P110&lt;$R$2,N110,[1]payroll!$F110*$R$2)</f>
        <v>663150.77796624752</v>
      </c>
      <c r="T110" s="10">
        <f t="shared" si="7"/>
        <v>0</v>
      </c>
      <c r="V110" s="1">
        <f t="shared" si="8"/>
        <v>1</v>
      </c>
    </row>
    <row r="111" spans="1:22">
      <c r="A111" s="1" t="s">
        <v>164</v>
      </c>
      <c r="B111" s="1" t="s">
        <v>165</v>
      </c>
      <c r="C111" s="5">
        <v>28180.05</v>
      </c>
      <c r="D111" s="5">
        <v>17709.580000000002</v>
      </c>
      <c r="E111" s="5">
        <v>88688.78</v>
      </c>
      <c r="F111" s="2"/>
      <c r="G111" s="2">
        <f t="shared" si="9"/>
        <v>44859.47</v>
      </c>
      <c r="H111" s="8">
        <v>1</v>
      </c>
      <c r="J111" s="2">
        <f t="shared" si="5"/>
        <v>44859.47</v>
      </c>
      <c r="L111" s="9">
        <f t="shared" si="6"/>
        <v>1.2389050174232154E-3</v>
      </c>
      <c r="N111" s="2">
        <f>L111*([1]assessment!$J$272*[1]assessment!$F$3)</f>
        <v>44620.942278978102</v>
      </c>
      <c r="P111" s="7">
        <f>N111/[1]payroll!$F111</f>
        <v>4.7051335904746536E-4</v>
      </c>
      <c r="R111" s="2">
        <f>IF(P111&lt;$R$2,N111,[1]payroll!$F111*$R$2)</f>
        <v>44620.942278978102</v>
      </c>
      <c r="T111" s="10">
        <f t="shared" si="7"/>
        <v>0</v>
      </c>
      <c r="V111" s="1">
        <f t="shared" si="8"/>
        <v>1</v>
      </c>
    </row>
    <row r="112" spans="1:22">
      <c r="A112" s="1" t="s">
        <v>166</v>
      </c>
      <c r="B112" s="1" t="s">
        <v>167</v>
      </c>
      <c r="C112" s="5">
        <v>29865.26</v>
      </c>
      <c r="D112" s="5">
        <v>50343.79</v>
      </c>
      <c r="E112" s="5">
        <v>25152.42</v>
      </c>
      <c r="F112" s="2"/>
      <c r="G112" s="2">
        <f t="shared" si="9"/>
        <v>35120.49</v>
      </c>
      <c r="H112" s="8">
        <v>1</v>
      </c>
      <c r="J112" s="2">
        <f t="shared" si="5"/>
        <v>35120.49</v>
      </c>
      <c r="L112" s="9">
        <f t="shared" si="6"/>
        <v>9.6993904019289259E-4</v>
      </c>
      <c r="N112" s="2">
        <f>L112*([1]assessment!$J$272*[1]assessment!$F$3)</f>
        <v>34933.746589057504</v>
      </c>
      <c r="P112" s="7">
        <f>N112/[1]payroll!$F112</f>
        <v>8.0984471615908223E-4</v>
      </c>
      <c r="R112" s="2">
        <f>IF(P112&lt;$R$2,N112,[1]payroll!$F112*$R$2)</f>
        <v>34933.746589057504</v>
      </c>
      <c r="T112" s="10">
        <f t="shared" si="7"/>
        <v>0</v>
      </c>
      <c r="V112" s="1">
        <f t="shared" si="8"/>
        <v>1</v>
      </c>
    </row>
    <row r="113" spans="1:22">
      <c r="A113" s="1" t="s">
        <v>168</v>
      </c>
      <c r="B113" s="1" t="s">
        <v>169</v>
      </c>
      <c r="C113" s="5">
        <v>37610.54</v>
      </c>
      <c r="D113" s="5">
        <v>32991.1</v>
      </c>
      <c r="E113" s="5">
        <v>6932.52</v>
      </c>
      <c r="F113" s="2"/>
      <c r="G113" s="2">
        <f t="shared" si="9"/>
        <v>25844.720000000001</v>
      </c>
      <c r="H113" s="8">
        <v>1</v>
      </c>
      <c r="J113" s="2">
        <f t="shared" si="5"/>
        <v>25844.720000000001</v>
      </c>
      <c r="L113" s="9">
        <f t="shared" si="6"/>
        <v>7.1376575072996007E-4</v>
      </c>
      <c r="N113" s="2">
        <f>L113*([1]assessment!$J$272*[1]assessment!$F$3)</f>
        <v>25707.297909144956</v>
      </c>
      <c r="P113" s="7">
        <f>N113/[1]payroll!$F113</f>
        <v>4.4675333567715007E-4</v>
      </c>
      <c r="R113" s="2">
        <f>IF(P113&lt;$R$2,N113,[1]payroll!$F113*$R$2)</f>
        <v>25707.297909144956</v>
      </c>
      <c r="T113" s="10">
        <f t="shared" si="7"/>
        <v>0</v>
      </c>
      <c r="V113" s="1">
        <f t="shared" si="8"/>
        <v>1</v>
      </c>
    </row>
    <row r="114" spans="1:22">
      <c r="A114" s="1" t="s">
        <v>170</v>
      </c>
      <c r="B114" s="1" t="s">
        <v>523</v>
      </c>
      <c r="C114" s="5">
        <v>41137.33</v>
      </c>
      <c r="D114" s="5">
        <v>113124.12</v>
      </c>
      <c r="E114" s="5">
        <v>170159.42</v>
      </c>
      <c r="F114" s="2"/>
      <c r="G114" s="2">
        <f t="shared" si="9"/>
        <v>108140.29</v>
      </c>
      <c r="H114" s="8">
        <v>1</v>
      </c>
      <c r="J114" s="2">
        <f t="shared" si="5"/>
        <v>108140.29</v>
      </c>
      <c r="L114" s="9">
        <f t="shared" si="6"/>
        <v>2.9865610954967047E-3</v>
      </c>
      <c r="N114" s="2">
        <f>L114*([1]assessment!$J$272*[1]assessment!$F$3)</f>
        <v>107565.28416679807</v>
      </c>
      <c r="P114" s="7">
        <f>N114/[1]payroll!$F114</f>
        <v>2.5854813021630236E-4</v>
      </c>
      <c r="R114" s="2">
        <f>IF(P114&lt;$R$2,N114,[1]payroll!$F114*$R$2)</f>
        <v>107565.28416679807</v>
      </c>
      <c r="T114" s="10">
        <f t="shared" si="7"/>
        <v>0</v>
      </c>
      <c r="V114" s="1">
        <f t="shared" si="8"/>
        <v>1</v>
      </c>
    </row>
    <row r="115" spans="1:22">
      <c r="A115" s="1" t="s">
        <v>171</v>
      </c>
      <c r="B115" s="1" t="s">
        <v>172</v>
      </c>
      <c r="C115" s="5">
        <v>324664.57</v>
      </c>
      <c r="D115" s="5">
        <v>308578.21999999997</v>
      </c>
      <c r="E115" s="5">
        <v>295139.12</v>
      </c>
      <c r="F115" s="2"/>
      <c r="G115" s="2">
        <f t="shared" si="9"/>
        <v>309460.63666666666</v>
      </c>
      <c r="H115" s="8">
        <v>1</v>
      </c>
      <c r="J115" s="2">
        <f t="shared" si="5"/>
        <v>309460.63666666666</v>
      </c>
      <c r="L115" s="9">
        <f t="shared" si="6"/>
        <v>8.5465195077274875E-3</v>
      </c>
      <c r="N115" s="2">
        <f>L115*([1]assessment!$J$272*[1]assessment!$F$3)</f>
        <v>307815.16603560292</v>
      </c>
      <c r="P115" s="7">
        <f>N115/[1]payroll!$F115</f>
        <v>7.9658426657311756E-4</v>
      </c>
      <c r="R115" s="2">
        <f>IF(P115&lt;$R$2,N115,[1]payroll!$F115*$R$2)</f>
        <v>307815.16603560292</v>
      </c>
      <c r="T115" s="10">
        <f t="shared" si="7"/>
        <v>0</v>
      </c>
      <c r="V115" s="1">
        <f t="shared" si="8"/>
        <v>1</v>
      </c>
    </row>
    <row r="116" spans="1:22">
      <c r="A116" s="1" t="s">
        <v>173</v>
      </c>
      <c r="B116" s="1" t="s">
        <v>174</v>
      </c>
      <c r="C116" s="5">
        <v>91792.03</v>
      </c>
      <c r="D116" s="5">
        <v>115506.67</v>
      </c>
      <c r="E116" s="5">
        <v>89309.440000000002</v>
      </c>
      <c r="F116" s="2"/>
      <c r="G116" s="2">
        <f t="shared" si="9"/>
        <v>98869.38</v>
      </c>
      <c r="H116" s="8">
        <v>1</v>
      </c>
      <c r="J116" s="2">
        <f t="shared" si="5"/>
        <v>98869.38</v>
      </c>
      <c r="L116" s="9">
        <f t="shared" si="6"/>
        <v>2.7305220269326076E-3</v>
      </c>
      <c r="N116" s="2">
        <f>L116*([1]assessment!$J$272*[1]assessment!$F$3)</f>
        <v>98343.669645190908</v>
      </c>
      <c r="P116" s="7">
        <f>N116/[1]payroll!$F116</f>
        <v>4.9945947150716854E-4</v>
      </c>
      <c r="R116" s="2">
        <f>IF(P116&lt;$R$2,N116,[1]payroll!$F116*$R$2)</f>
        <v>98343.669645190908</v>
      </c>
      <c r="T116" s="10">
        <f t="shared" si="7"/>
        <v>0</v>
      </c>
      <c r="V116" s="1">
        <f t="shared" si="8"/>
        <v>1</v>
      </c>
    </row>
    <row r="117" spans="1:22">
      <c r="A117" s="1" t="s">
        <v>175</v>
      </c>
      <c r="B117" s="11" t="s">
        <v>541</v>
      </c>
      <c r="C117" s="5">
        <v>223198.47</v>
      </c>
      <c r="D117" s="5">
        <v>193532.96</v>
      </c>
      <c r="E117" s="5">
        <v>231112.07</v>
      </c>
      <c r="F117" s="2"/>
      <c r="G117" s="2">
        <f t="shared" si="9"/>
        <v>215947.83333333334</v>
      </c>
      <c r="H117" s="8">
        <v>1</v>
      </c>
      <c r="J117" s="2">
        <f t="shared" si="5"/>
        <v>215947.83333333334</v>
      </c>
      <c r="L117" s="9">
        <f t="shared" si="6"/>
        <v>5.9639325702764423E-3</v>
      </c>
      <c r="N117" s="2">
        <f>L117*([1]assessment!$J$272*[1]assessment!$F$3)</f>
        <v>214799.5909545309</v>
      </c>
      <c r="P117" s="7">
        <f>N117/[1]payroll!$F117</f>
        <v>6.286537009934939E-4</v>
      </c>
      <c r="R117" s="2">
        <f>IF(P117&lt;$R$2,N117,[1]payroll!$F117*$R$2)</f>
        <v>214799.5909545309</v>
      </c>
      <c r="T117" s="10">
        <f t="shared" si="7"/>
        <v>0</v>
      </c>
      <c r="V117" s="1">
        <f t="shared" si="8"/>
        <v>1</v>
      </c>
    </row>
    <row r="118" spans="1:22">
      <c r="A118" s="1" t="s">
        <v>176</v>
      </c>
      <c r="B118" s="1" t="s">
        <v>177</v>
      </c>
      <c r="C118" s="5">
        <v>8636.17</v>
      </c>
      <c r="D118" s="5">
        <v>16071.09</v>
      </c>
      <c r="E118" s="5">
        <v>42917.57</v>
      </c>
      <c r="F118" s="2"/>
      <c r="G118" s="2">
        <f t="shared" si="9"/>
        <v>22541.61</v>
      </c>
      <c r="H118" s="8">
        <v>1</v>
      </c>
      <c r="J118" s="2">
        <f t="shared" si="5"/>
        <v>22541.61</v>
      </c>
      <c r="L118" s="9">
        <f t="shared" si="6"/>
        <v>6.2254221304436559E-4</v>
      </c>
      <c r="N118" s="2">
        <f>L118*([1]assessment!$J$272*[1]assessment!$F$3)</f>
        <v>22421.751275376984</v>
      </c>
      <c r="P118" s="7">
        <f>N118/[1]payroll!$F118</f>
        <v>9.9989132250440527E-4</v>
      </c>
      <c r="R118" s="2">
        <f>IF(P118&lt;$R$2,N118,[1]payroll!$F118*$R$2)</f>
        <v>22421.751275376984</v>
      </c>
      <c r="T118" s="10">
        <f t="shared" si="7"/>
        <v>0</v>
      </c>
      <c r="V118" s="1">
        <f t="shared" si="8"/>
        <v>1</v>
      </c>
    </row>
    <row r="119" spans="1:22">
      <c r="A119" s="1" t="s">
        <v>178</v>
      </c>
      <c r="B119" s="1" t="s">
        <v>524</v>
      </c>
      <c r="C119" s="5">
        <v>0</v>
      </c>
      <c r="D119" s="5">
        <v>0</v>
      </c>
      <c r="E119" s="5">
        <v>0</v>
      </c>
      <c r="F119" s="2"/>
      <c r="G119" s="2">
        <f t="shared" si="9"/>
        <v>0</v>
      </c>
      <c r="H119" s="8">
        <v>1</v>
      </c>
      <c r="J119" s="2">
        <f t="shared" si="5"/>
        <v>0</v>
      </c>
      <c r="L119" s="9">
        <f t="shared" si="6"/>
        <v>0</v>
      </c>
      <c r="N119" s="2">
        <f>L119*([1]assessment!$J$272*[1]assessment!$F$3)</f>
        <v>0</v>
      </c>
      <c r="P119" s="7">
        <f>N119/[1]payroll!$F119</f>
        <v>0</v>
      </c>
      <c r="R119" s="2">
        <f>IF(P119&lt;$R$2,N119,[1]payroll!$F119*$R$2)</f>
        <v>0</v>
      </c>
      <c r="T119" s="10">
        <f t="shared" si="7"/>
        <v>0</v>
      </c>
      <c r="V119" s="1" t="e">
        <f t="shared" si="8"/>
        <v>#DIV/0!</v>
      </c>
    </row>
    <row r="120" spans="1:22">
      <c r="A120" s="1" t="s">
        <v>179</v>
      </c>
      <c r="B120" s="1" t="s">
        <v>180</v>
      </c>
      <c r="C120" s="5">
        <v>54227.47</v>
      </c>
      <c r="D120" s="5">
        <v>63941.05</v>
      </c>
      <c r="E120" s="5">
        <v>214892.61</v>
      </c>
      <c r="F120" s="2"/>
      <c r="G120" s="2">
        <f t="shared" si="9"/>
        <v>111020.37666666666</v>
      </c>
      <c r="H120" s="8">
        <v>1</v>
      </c>
      <c r="J120" s="2">
        <f t="shared" si="5"/>
        <v>111020.37666666666</v>
      </c>
      <c r="L120" s="9">
        <f t="shared" si="6"/>
        <v>3.0661017994316159E-3</v>
      </c>
      <c r="N120" s="2">
        <f>L120*([1]assessment!$J$272*[1]assessment!$F$3)</f>
        <v>110430.05677583217</v>
      </c>
      <c r="P120" s="7">
        <f>N120/[1]payroll!$F120</f>
        <v>1.4576390231193161E-3</v>
      </c>
      <c r="R120" s="2">
        <f>IF(P120&lt;$R$2,N120,[1]payroll!$F120*$R$2)</f>
        <v>110430.05677583217</v>
      </c>
      <c r="T120" s="10">
        <f t="shared" si="7"/>
        <v>0</v>
      </c>
      <c r="V120" s="1">
        <f t="shared" si="8"/>
        <v>1</v>
      </c>
    </row>
    <row r="121" spans="1:22">
      <c r="A121" s="1" t="s">
        <v>181</v>
      </c>
      <c r="B121" s="1" t="s">
        <v>182</v>
      </c>
      <c r="C121" s="5">
        <v>122033.02</v>
      </c>
      <c r="D121" s="5">
        <v>154077.32</v>
      </c>
      <c r="E121" s="5">
        <v>95434.92</v>
      </c>
      <c r="F121" s="2"/>
      <c r="G121" s="2">
        <f t="shared" si="9"/>
        <v>123848.42</v>
      </c>
      <c r="H121" s="8">
        <v>1</v>
      </c>
      <c r="J121" s="2">
        <f t="shared" si="5"/>
        <v>123848.42</v>
      </c>
      <c r="L121" s="9">
        <f t="shared" si="6"/>
        <v>3.4203798871885399E-3</v>
      </c>
      <c r="N121" s="2">
        <f>L121*([1]assessment!$J$272*[1]assessment!$F$3)</f>
        <v>123189.89056630935</v>
      </c>
      <c r="P121" s="7">
        <f>N121/[1]payroll!$F121</f>
        <v>9.7668295145770688E-4</v>
      </c>
      <c r="R121" s="2">
        <f>IF(P121&lt;$R$2,N121,[1]payroll!$F121*$R$2)</f>
        <v>123189.89056630935</v>
      </c>
      <c r="T121" s="10">
        <f t="shared" si="7"/>
        <v>0</v>
      </c>
      <c r="V121" s="1">
        <f t="shared" si="8"/>
        <v>1</v>
      </c>
    </row>
    <row r="122" spans="1:22">
      <c r="A122" s="1" t="s">
        <v>469</v>
      </c>
      <c r="B122" s="1" t="s">
        <v>470</v>
      </c>
      <c r="C122" s="5">
        <v>0</v>
      </c>
      <c r="D122" s="5">
        <v>1500.88</v>
      </c>
      <c r="E122" s="5">
        <v>20020.07</v>
      </c>
      <c r="F122" s="2"/>
      <c r="G122" s="2">
        <f t="shared" si="9"/>
        <v>7173.6500000000005</v>
      </c>
      <c r="H122" s="8">
        <v>1</v>
      </c>
      <c r="J122" s="2">
        <f t="shared" si="5"/>
        <v>7173.6500000000005</v>
      </c>
      <c r="L122" s="9">
        <f t="shared" si="6"/>
        <v>1.9811805574693704E-4</v>
      </c>
      <c r="N122" s="2">
        <f>L122*([1]assessment!$J$272*[1]assessment!$F$3)</f>
        <v>7135.506116759545</v>
      </c>
      <c r="P122" s="7">
        <f>N122/[1]payroll!$F122</f>
        <v>2.0757055611377048E-4</v>
      </c>
      <c r="R122" s="2">
        <f>IF(P122&lt;$R$2,N122,[1]payroll!$F122*$R$2)</f>
        <v>7135.506116759545</v>
      </c>
      <c r="T122" s="10">
        <f t="shared" si="7"/>
        <v>0</v>
      </c>
      <c r="V122" s="1">
        <f t="shared" si="8"/>
        <v>1</v>
      </c>
    </row>
    <row r="123" spans="1:22">
      <c r="A123" s="1" t="s">
        <v>183</v>
      </c>
      <c r="B123" s="1" t="s">
        <v>487</v>
      </c>
      <c r="C123" s="5">
        <v>21300.12</v>
      </c>
      <c r="D123" s="5">
        <v>11515.91</v>
      </c>
      <c r="E123" s="5">
        <v>31707.37</v>
      </c>
      <c r="F123" s="2"/>
      <c r="G123" s="2">
        <f t="shared" si="9"/>
        <v>21507.8</v>
      </c>
      <c r="H123" s="8">
        <v>1</v>
      </c>
      <c r="J123" s="2">
        <f t="shared" si="5"/>
        <v>21507.8</v>
      </c>
      <c r="L123" s="9">
        <f t="shared" si="6"/>
        <v>5.9399099752482649E-4</v>
      </c>
      <c r="N123" s="2">
        <f>L123*([1]assessment!$J$272*[1]assessment!$F$3)</f>
        <v>21393.438271736271</v>
      </c>
      <c r="P123" s="7">
        <f>N123/[1]payroll!$F123</f>
        <v>8.668938842230897E-4</v>
      </c>
      <c r="R123" s="2">
        <f>IF(P123&lt;$R$2,N123,[1]payroll!$F123*$R$2)</f>
        <v>21393.438271736271</v>
      </c>
      <c r="T123" s="10">
        <f t="shared" si="7"/>
        <v>0</v>
      </c>
      <c r="V123" s="1">
        <f t="shared" si="8"/>
        <v>1</v>
      </c>
    </row>
    <row r="124" spans="1:22">
      <c r="A124" s="1" t="s">
        <v>184</v>
      </c>
      <c r="B124" s="1" t="s">
        <v>185</v>
      </c>
      <c r="C124" s="5">
        <v>58438.6</v>
      </c>
      <c r="D124" s="5">
        <v>37145.949999999997</v>
      </c>
      <c r="E124" s="5">
        <v>48188.7</v>
      </c>
      <c r="F124" s="2"/>
      <c r="G124" s="2">
        <f t="shared" si="9"/>
        <v>47924.416666666664</v>
      </c>
      <c r="H124" s="8">
        <v>1</v>
      </c>
      <c r="J124" s="2">
        <f t="shared" si="5"/>
        <v>47924.416666666664</v>
      </c>
      <c r="L124" s="9">
        <f t="shared" si="6"/>
        <v>1.3235510866582707E-3</v>
      </c>
      <c r="N124" s="2">
        <f>L124*([1]assessment!$J$272*[1]assessment!$F$3)</f>
        <v>47669.591946517183</v>
      </c>
      <c r="P124" s="7">
        <f>N124/[1]payroll!$F124</f>
        <v>1.5803067798189077E-3</v>
      </c>
      <c r="R124" s="2">
        <f>IF(P124&lt;$R$2,N124,[1]payroll!$F124*$R$2)</f>
        <v>47669.591946517183</v>
      </c>
      <c r="T124" s="10">
        <f t="shared" si="7"/>
        <v>0</v>
      </c>
      <c r="V124" s="1">
        <f t="shared" si="8"/>
        <v>1</v>
      </c>
    </row>
    <row r="125" spans="1:22">
      <c r="A125" s="1" t="s">
        <v>534</v>
      </c>
      <c r="B125" s="1" t="s">
        <v>535</v>
      </c>
      <c r="C125" s="5">
        <v>583.28</v>
      </c>
      <c r="D125" s="5">
        <v>1462.79</v>
      </c>
      <c r="E125" s="5">
        <v>12616.64</v>
      </c>
      <c r="F125" s="2"/>
      <c r="G125" s="2">
        <f t="shared" si="9"/>
        <v>4887.57</v>
      </c>
      <c r="H125" s="8">
        <v>1</v>
      </c>
      <c r="J125" s="2">
        <f t="shared" si="5"/>
        <v>4887.57</v>
      </c>
      <c r="L125" s="9">
        <f t="shared" si="6"/>
        <v>1.3498231245280394E-4</v>
      </c>
      <c r="N125" s="2">
        <f>L125*([1]assessment!$J$272*[1]assessment!$F$3)</f>
        <v>4861.5817096025658</v>
      </c>
      <c r="P125" s="7">
        <f>N125/[1]payroll!$F125</f>
        <v>1.368052505101147E-4</v>
      </c>
      <c r="R125" s="2">
        <f>IF(P125&lt;$R$2,N125,[1]payroll!$F125*$R$2)</f>
        <v>4861.5817096025658</v>
      </c>
      <c r="T125" s="10">
        <f t="shared" si="7"/>
        <v>0</v>
      </c>
      <c r="V125" s="1">
        <f t="shared" si="8"/>
        <v>1</v>
      </c>
    </row>
    <row r="126" spans="1:22">
      <c r="A126" s="11" t="s">
        <v>551</v>
      </c>
      <c r="B126" s="11" t="s">
        <v>546</v>
      </c>
      <c r="C126" s="5">
        <v>86790.13</v>
      </c>
      <c r="D126" s="5">
        <v>81124.929999999993</v>
      </c>
      <c r="E126" s="5">
        <v>64431.75</v>
      </c>
      <c r="F126" s="2"/>
      <c r="G126" s="2">
        <f t="shared" si="9"/>
        <v>77448.936666666661</v>
      </c>
      <c r="H126" s="8">
        <v>1</v>
      </c>
      <c r="J126" s="2">
        <f t="shared" si="5"/>
        <v>77448.936666666661</v>
      </c>
      <c r="L126" s="9">
        <f t="shared" si="6"/>
        <v>2.1389435994323197E-3</v>
      </c>
      <c r="N126" s="2">
        <f>L126*([1]assessment!$J$272*[1]assessment!$F$3)</f>
        <v>77037.123545408889</v>
      </c>
      <c r="P126" s="7">
        <f>N126/[1]payroll!$F126</f>
        <v>4.8772984554464792E-4</v>
      </c>
      <c r="R126" s="2">
        <f>IF(P126&lt;$R$2,N126,[1]payroll!$F126*$R$2)</f>
        <v>77037.123545408889</v>
      </c>
      <c r="T126" s="10">
        <f t="shared" si="7"/>
        <v>0</v>
      </c>
      <c r="V126" s="1">
        <f t="shared" si="8"/>
        <v>1</v>
      </c>
    </row>
    <row r="127" spans="1:22">
      <c r="A127" s="1" t="s">
        <v>186</v>
      </c>
      <c r="B127" s="1" t="s">
        <v>187</v>
      </c>
      <c r="C127" s="5">
        <v>0</v>
      </c>
      <c r="D127" s="5">
        <v>0</v>
      </c>
      <c r="E127" s="5">
        <v>0</v>
      </c>
      <c r="F127" s="2"/>
      <c r="G127" s="2">
        <f t="shared" si="9"/>
        <v>0</v>
      </c>
      <c r="H127" s="8">
        <v>1</v>
      </c>
      <c r="J127" s="2">
        <f t="shared" si="5"/>
        <v>0</v>
      </c>
      <c r="L127" s="9">
        <f t="shared" si="6"/>
        <v>0</v>
      </c>
      <c r="N127" s="2">
        <f>L127*([1]assessment!$J$272*[1]assessment!$F$3)</f>
        <v>0</v>
      </c>
      <c r="P127" s="7">
        <f>N127/[1]payroll!$F127</f>
        <v>0</v>
      </c>
      <c r="R127" s="2">
        <f>IF(P127&lt;$R$2,N127,[1]payroll!$F127*$R$2)</f>
        <v>0</v>
      </c>
      <c r="T127" s="10">
        <f t="shared" si="7"/>
        <v>0</v>
      </c>
      <c r="V127" s="1" t="e">
        <f t="shared" si="8"/>
        <v>#DIV/0!</v>
      </c>
    </row>
    <row r="128" spans="1:22">
      <c r="A128" s="1" t="s">
        <v>188</v>
      </c>
      <c r="B128" s="1" t="s">
        <v>525</v>
      </c>
      <c r="C128" s="5">
        <v>0</v>
      </c>
      <c r="D128" s="5">
        <v>2775.77</v>
      </c>
      <c r="E128" s="5">
        <v>5352.15</v>
      </c>
      <c r="F128" s="2"/>
      <c r="G128" s="2">
        <f t="shared" si="9"/>
        <v>2709.3066666666668</v>
      </c>
      <c r="H128" s="8">
        <v>1</v>
      </c>
      <c r="J128" s="2">
        <f t="shared" si="5"/>
        <v>2709.3066666666668</v>
      </c>
      <c r="L128" s="9">
        <f t="shared" si="6"/>
        <v>7.4824192596825167E-5</v>
      </c>
      <c r="N128" s="2">
        <f>L128*([1]assessment!$J$272*[1]assessment!$F$3)</f>
        <v>2694.9006840558732</v>
      </c>
      <c r="P128" s="7">
        <f>N128/[1]payroll!$F128</f>
        <v>2.9943138496157814E-4</v>
      </c>
      <c r="R128" s="2">
        <f>IF(P128&lt;$R$2,N128,[1]payroll!$F128*$R$2)</f>
        <v>2694.9006840558732</v>
      </c>
      <c r="T128" s="10">
        <f t="shared" si="7"/>
        <v>0</v>
      </c>
      <c r="V128" s="1">
        <f t="shared" si="8"/>
        <v>1</v>
      </c>
    </row>
    <row r="129" spans="1:22">
      <c r="A129" s="1" t="s">
        <v>189</v>
      </c>
      <c r="B129" s="1" t="s">
        <v>190</v>
      </c>
      <c r="C129" s="5">
        <v>24906.87</v>
      </c>
      <c r="D129" s="5">
        <v>19499.21</v>
      </c>
      <c r="E129" s="5">
        <v>75.72</v>
      </c>
      <c r="F129" s="2"/>
      <c r="G129" s="2">
        <f t="shared" si="9"/>
        <v>14827.266666666668</v>
      </c>
      <c r="H129" s="8">
        <v>1</v>
      </c>
      <c r="J129" s="2">
        <f t="shared" si="5"/>
        <v>14827.266666666668</v>
      </c>
      <c r="L129" s="9">
        <f t="shared" si="6"/>
        <v>4.0949157598173426E-4</v>
      </c>
      <c r="N129" s="2">
        <f>L129*([1]assessment!$J$272*[1]assessment!$F$3)</f>
        <v>14748.426811292007</v>
      </c>
      <c r="P129" s="7">
        <f>N129/[1]payroll!$F129</f>
        <v>1.613506349173832E-4</v>
      </c>
      <c r="R129" s="2">
        <f>IF(P129&lt;$R$2,N129,[1]payroll!$F129*$R$2)</f>
        <v>14748.426811292007</v>
      </c>
      <c r="T129" s="10">
        <f t="shared" si="7"/>
        <v>0</v>
      </c>
      <c r="V129" s="1">
        <f t="shared" si="8"/>
        <v>1</v>
      </c>
    </row>
    <row r="130" spans="1:22">
      <c r="A130" s="1" t="s">
        <v>191</v>
      </c>
      <c r="B130" s="1" t="s">
        <v>526</v>
      </c>
      <c r="C130" s="5">
        <v>0</v>
      </c>
      <c r="D130" s="5">
        <v>1068.76</v>
      </c>
      <c r="E130" s="5">
        <v>4450.1499999999996</v>
      </c>
      <c r="F130" s="2"/>
      <c r="G130" s="2">
        <f t="shared" si="9"/>
        <v>1839.6366666666665</v>
      </c>
      <c r="H130" s="8">
        <v>1</v>
      </c>
      <c r="J130" s="2">
        <f t="shared" si="5"/>
        <v>1839.6366666666665</v>
      </c>
      <c r="L130" s="9">
        <f t="shared" si="6"/>
        <v>5.0806108421901829E-5</v>
      </c>
      <c r="N130" s="2">
        <f>L130*([1]assessment!$J$272*[1]assessment!$F$3)</f>
        <v>1829.8549117416012</v>
      </c>
      <c r="P130" s="7">
        <f>N130/[1]payroll!$F130</f>
        <v>1.8020626468239008E-4</v>
      </c>
      <c r="R130" s="2">
        <f>IF(P130&lt;$R$2,N130,[1]payroll!$F130*$R$2)</f>
        <v>1829.8549117416012</v>
      </c>
      <c r="T130" s="10">
        <f t="shared" si="7"/>
        <v>0</v>
      </c>
      <c r="V130" s="1">
        <f t="shared" si="8"/>
        <v>1</v>
      </c>
    </row>
    <row r="131" spans="1:22">
      <c r="A131" s="1" t="s">
        <v>192</v>
      </c>
      <c r="B131" s="1" t="s">
        <v>527</v>
      </c>
      <c r="C131" s="5">
        <v>57911.040000000001</v>
      </c>
      <c r="D131" s="5">
        <v>51874.23</v>
      </c>
      <c r="E131" s="5">
        <v>49000.9</v>
      </c>
      <c r="F131" s="2"/>
      <c r="G131" s="2">
        <f t="shared" si="9"/>
        <v>52928.723333333335</v>
      </c>
      <c r="H131" s="8">
        <v>1</v>
      </c>
      <c r="J131" s="2">
        <f t="shared" si="5"/>
        <v>52928.723333333335</v>
      </c>
      <c r="L131" s="9">
        <f t="shared" si="6"/>
        <v>1.4617573703717829E-3</v>
      </c>
      <c r="N131" s="2">
        <f>L131*([1]assessment!$J$272*[1]assessment!$F$3)</f>
        <v>52647.28960811771</v>
      </c>
      <c r="P131" s="7">
        <f>N131/[1]payroll!$F131</f>
        <v>4.96407623914631E-3</v>
      </c>
      <c r="R131" s="2">
        <f>IF(P131&lt;$R$2,N131,[1]payroll!$F131*$R$2)</f>
        <v>52647.28960811771</v>
      </c>
      <c r="T131" s="10">
        <f t="shared" si="7"/>
        <v>0</v>
      </c>
      <c r="V131" s="1">
        <f t="shared" si="8"/>
        <v>1</v>
      </c>
    </row>
    <row r="132" spans="1:22">
      <c r="A132" s="1" t="s">
        <v>193</v>
      </c>
      <c r="B132" s="1" t="s">
        <v>488</v>
      </c>
      <c r="C132" s="5">
        <v>4492.07</v>
      </c>
      <c r="D132" s="5">
        <v>479.11</v>
      </c>
      <c r="E132" s="5">
        <v>870.35</v>
      </c>
      <c r="F132" s="2"/>
      <c r="G132" s="2">
        <f t="shared" si="9"/>
        <v>1947.1766666666665</v>
      </c>
      <c r="H132" s="8">
        <v>1</v>
      </c>
      <c r="J132" s="2">
        <f t="shared" ref="J132:J139" si="10">+G132*H132</f>
        <v>1947.1766666666665</v>
      </c>
      <c r="L132" s="9">
        <f t="shared" si="6"/>
        <v>5.3776091026994856E-5</v>
      </c>
      <c r="N132" s="2">
        <f>L132*([1]assessment!$J$272*[1]assessment!$F$3)</f>
        <v>1936.8230977830615</v>
      </c>
      <c r="P132" s="7">
        <f>N132/[1]payroll!$F132</f>
        <v>1.4314067735519723E-4</v>
      </c>
      <c r="R132" s="2">
        <f>IF(P132&lt;$R$2,N132,[1]payroll!$F132*$R$2)</f>
        <v>1936.8230977830615</v>
      </c>
      <c r="T132" s="10">
        <f t="shared" ref="T132:T139" si="11">+N132-R132</f>
        <v>0</v>
      </c>
      <c r="V132" s="1">
        <f t="shared" ref="V132:V139" si="12">+R132/N132</f>
        <v>1</v>
      </c>
    </row>
    <row r="133" spans="1:22">
      <c r="A133" s="1" t="s">
        <v>194</v>
      </c>
      <c r="B133" s="1" t="s">
        <v>528</v>
      </c>
      <c r="C133" s="5">
        <v>966328.46</v>
      </c>
      <c r="D133" s="5">
        <v>870463.25</v>
      </c>
      <c r="E133" s="5">
        <v>721972.18</v>
      </c>
      <c r="F133" s="2"/>
      <c r="G133" s="2">
        <f t="shared" ref="G133:G139" si="13">IF(SUM(C133:E133)&gt;0,AVERAGE(C133:E133),0)</f>
        <v>852921.29666666675</v>
      </c>
      <c r="H133" s="8">
        <v>1</v>
      </c>
      <c r="J133" s="2">
        <f t="shared" si="10"/>
        <v>852921.29666666675</v>
      </c>
      <c r="L133" s="9">
        <f t="shared" ref="L133:L196" si="14">+J133/$J$264</f>
        <v>2.3555527381563985E-2</v>
      </c>
      <c r="N133" s="2">
        <f>L133*([1]assessment!$J$272*[1]assessment!$F$3)</f>
        <v>848386.12553992483</v>
      </c>
      <c r="P133" s="7">
        <f>N133/[1]payroll!$F133</f>
        <v>4.3101529424999256E-3</v>
      </c>
      <c r="R133" s="2">
        <f>IF(P133&lt;$R$2,N133,[1]payroll!$F133*$R$2)</f>
        <v>848386.12553992483</v>
      </c>
      <c r="T133" s="10">
        <f t="shared" si="11"/>
        <v>0</v>
      </c>
      <c r="V133" s="1">
        <f t="shared" si="12"/>
        <v>1</v>
      </c>
    </row>
    <row r="134" spans="1:22">
      <c r="A134" s="1" t="s">
        <v>195</v>
      </c>
      <c r="B134" s="1" t="s">
        <v>196</v>
      </c>
      <c r="C134" s="5">
        <v>47823.57</v>
      </c>
      <c r="D134" s="5">
        <v>12211.08</v>
      </c>
      <c r="E134" s="5">
        <v>180</v>
      </c>
      <c r="F134" s="2"/>
      <c r="G134" s="2">
        <f t="shared" si="13"/>
        <v>20071.55</v>
      </c>
      <c r="H134" s="8">
        <v>1</v>
      </c>
      <c r="J134" s="2">
        <f t="shared" si="10"/>
        <v>20071.55</v>
      </c>
      <c r="L134" s="9">
        <f t="shared" si="14"/>
        <v>5.5432540782271694E-4</v>
      </c>
      <c r="N134" s="2">
        <f>L134*([1]assessment!$J$272*[1]assessment!$F$3)</f>
        <v>19964.825130560454</v>
      </c>
      <c r="P134" s="7">
        <f>N134/[1]payroll!$F134</f>
        <v>1.0267300834903978E-3</v>
      </c>
      <c r="R134" s="2">
        <f>IF(P134&lt;$R$2,N134,[1]payroll!$F134*$R$2)</f>
        <v>19964.825130560454</v>
      </c>
      <c r="T134" s="10">
        <f t="shared" si="11"/>
        <v>0</v>
      </c>
      <c r="V134" s="1">
        <f t="shared" si="12"/>
        <v>1</v>
      </c>
    </row>
    <row r="135" spans="1:22">
      <c r="A135" s="1" t="s">
        <v>197</v>
      </c>
      <c r="B135" s="1" t="s">
        <v>198</v>
      </c>
      <c r="C135" s="5">
        <v>18742.8</v>
      </c>
      <c r="D135" s="5">
        <v>997.45</v>
      </c>
      <c r="E135" s="5">
        <v>21334.95</v>
      </c>
      <c r="F135" s="2"/>
      <c r="G135" s="2">
        <f t="shared" si="13"/>
        <v>13691.733333333332</v>
      </c>
      <c r="H135" s="8">
        <v>1</v>
      </c>
      <c r="J135" s="2">
        <f t="shared" si="10"/>
        <v>13691.733333333332</v>
      </c>
      <c r="L135" s="9">
        <f t="shared" si="14"/>
        <v>3.7813101946784815E-4</v>
      </c>
      <c r="N135" s="2">
        <f>L135*([1]assessment!$J$272*[1]assessment!$F$3)</f>
        <v>13618.931359773689</v>
      </c>
      <c r="P135" s="7">
        <f>N135/[1]payroll!$F135</f>
        <v>9.8196411668535072E-4</v>
      </c>
      <c r="R135" s="2">
        <f>IF(P135&lt;$R$2,N135,[1]payroll!$F135*$R$2)</f>
        <v>13618.931359773689</v>
      </c>
      <c r="T135" s="10">
        <f t="shared" si="11"/>
        <v>0</v>
      </c>
      <c r="V135" s="1">
        <f t="shared" si="12"/>
        <v>1</v>
      </c>
    </row>
    <row r="136" spans="1:22">
      <c r="A136" s="1" t="s">
        <v>199</v>
      </c>
      <c r="B136" s="1" t="s">
        <v>200</v>
      </c>
      <c r="C136" s="5">
        <v>0</v>
      </c>
      <c r="D136" s="5">
        <v>0</v>
      </c>
      <c r="E136" s="5">
        <v>0</v>
      </c>
      <c r="F136" s="2"/>
      <c r="G136" s="2">
        <f t="shared" si="13"/>
        <v>0</v>
      </c>
      <c r="H136" s="8">
        <v>1</v>
      </c>
      <c r="J136" s="2">
        <f t="shared" si="10"/>
        <v>0</v>
      </c>
      <c r="L136" s="9">
        <f t="shared" si="14"/>
        <v>0</v>
      </c>
      <c r="N136" s="2">
        <f>L136*([1]assessment!$J$272*[1]assessment!$F$3)</f>
        <v>0</v>
      </c>
      <c r="P136" s="7">
        <f>N136/[1]payroll!$F136</f>
        <v>0</v>
      </c>
      <c r="R136" s="2">
        <f>IF(P136&lt;$R$2,N136,[1]payroll!$F136*$R$2)</f>
        <v>0</v>
      </c>
      <c r="T136" s="10">
        <f t="shared" si="11"/>
        <v>0</v>
      </c>
      <c r="V136" s="1" t="e">
        <f t="shared" si="12"/>
        <v>#DIV/0!</v>
      </c>
    </row>
    <row r="137" spans="1:22">
      <c r="A137" s="1" t="s">
        <v>201</v>
      </c>
      <c r="B137" s="1" t="s">
        <v>450</v>
      </c>
      <c r="C137" s="5">
        <v>0</v>
      </c>
      <c r="D137" s="5">
        <v>0</v>
      </c>
      <c r="E137" s="5">
        <v>0</v>
      </c>
      <c r="F137" s="2"/>
      <c r="G137" s="2">
        <f t="shared" si="13"/>
        <v>0</v>
      </c>
      <c r="H137" s="8">
        <v>1</v>
      </c>
      <c r="J137" s="2">
        <f t="shared" si="10"/>
        <v>0</v>
      </c>
      <c r="L137" s="9">
        <f t="shared" si="14"/>
        <v>0</v>
      </c>
      <c r="N137" s="2">
        <f>L137*([1]assessment!$J$272*[1]assessment!$F$3)</f>
        <v>0</v>
      </c>
      <c r="P137" s="7">
        <f>N137/[1]payroll!$F137</f>
        <v>0</v>
      </c>
      <c r="R137" s="2">
        <f>IF(P137&lt;$R$2,N137,[1]payroll!$F137*$R$2)</f>
        <v>0</v>
      </c>
      <c r="T137" s="10">
        <f t="shared" si="11"/>
        <v>0</v>
      </c>
      <c r="V137" s="1" t="e">
        <f t="shared" si="12"/>
        <v>#DIV/0!</v>
      </c>
    </row>
    <row r="138" spans="1:22">
      <c r="A138" s="1" t="s">
        <v>567</v>
      </c>
      <c r="B138" s="1" t="s">
        <v>569</v>
      </c>
      <c r="C138" s="5">
        <v>0</v>
      </c>
      <c r="D138" s="5">
        <v>0</v>
      </c>
      <c r="E138" s="5">
        <v>0</v>
      </c>
      <c r="F138" s="2"/>
      <c r="G138" s="2">
        <f t="shared" si="13"/>
        <v>0</v>
      </c>
      <c r="H138" s="8">
        <v>1</v>
      </c>
      <c r="J138" s="2">
        <f t="shared" si="10"/>
        <v>0</v>
      </c>
      <c r="L138" s="9">
        <f t="shared" si="14"/>
        <v>0</v>
      </c>
      <c r="N138" s="2">
        <f>L138*([1]assessment!$J$272*[1]assessment!$F$3)</f>
        <v>0</v>
      </c>
      <c r="P138" s="7">
        <f>N138/[1]payroll!$F138</f>
        <v>0</v>
      </c>
      <c r="R138" s="2">
        <f>IF(P138&lt;$R$2,N138,[1]payroll!$F138*$R$2)</f>
        <v>0</v>
      </c>
      <c r="T138" s="10">
        <f t="shared" si="11"/>
        <v>0</v>
      </c>
      <c r="V138" s="1" t="e">
        <f t="shared" si="12"/>
        <v>#DIV/0!</v>
      </c>
    </row>
    <row r="139" spans="1:22">
      <c r="A139" s="1" t="s">
        <v>568</v>
      </c>
      <c r="B139" s="1" t="s">
        <v>570</v>
      </c>
      <c r="C139" s="5">
        <v>0</v>
      </c>
      <c r="D139" s="5">
        <v>0</v>
      </c>
      <c r="E139" s="5">
        <v>0</v>
      </c>
      <c r="F139" s="2"/>
      <c r="G139" s="2">
        <f t="shared" si="13"/>
        <v>0</v>
      </c>
      <c r="H139" s="8">
        <v>1</v>
      </c>
      <c r="J139" s="2">
        <f t="shared" si="10"/>
        <v>0</v>
      </c>
      <c r="L139" s="9">
        <f t="shared" si="14"/>
        <v>0</v>
      </c>
      <c r="N139" s="2">
        <f>L139*([1]assessment!$J$272*[1]assessment!$F$3)</f>
        <v>0</v>
      </c>
      <c r="P139" s="7">
        <f>N139/[1]payroll!$F139</f>
        <v>0</v>
      </c>
      <c r="R139" s="2">
        <f>IF(P139&lt;$R$2,N139,[1]payroll!$F139*$R$2)</f>
        <v>0</v>
      </c>
      <c r="T139" s="10">
        <f t="shared" si="11"/>
        <v>0</v>
      </c>
      <c r="V139" s="1" t="e">
        <f t="shared" si="12"/>
        <v>#DIV/0!</v>
      </c>
    </row>
    <row r="140" spans="1:22" outlineLevel="1">
      <c r="A140" s="1" t="s">
        <v>202</v>
      </c>
      <c r="B140" s="1" t="s">
        <v>203</v>
      </c>
      <c r="C140" s="5">
        <v>0</v>
      </c>
      <c r="D140" s="5">
        <v>0</v>
      </c>
      <c r="E140" s="5">
        <v>0</v>
      </c>
      <c r="F140" s="2"/>
      <c r="G140" s="2">
        <f t="shared" ref="G140:G172" si="15">IF(SUM(C140:E140)&gt;0,AVERAGE(C140:E140),0)</f>
        <v>0</v>
      </c>
      <c r="H140" s="8">
        <v>1</v>
      </c>
      <c r="J140" s="2">
        <f t="shared" ref="J140:J172" si="16">+G140*H140</f>
        <v>0</v>
      </c>
      <c r="L140" s="9">
        <f t="shared" si="14"/>
        <v>0</v>
      </c>
      <c r="N140" s="2">
        <f>L140*([1]assessment!$J$272*[1]assessment!$F$3)</f>
        <v>0</v>
      </c>
      <c r="P140" s="7">
        <f>N140/[1]payroll!$F140</f>
        <v>0</v>
      </c>
      <c r="R140" s="2">
        <f>IF(P140&lt;$R$2,N140,[1]payroll!$F140*$R$2)</f>
        <v>0</v>
      </c>
      <c r="T140" s="10">
        <f t="shared" ref="T140:T203" si="17">+N140-R140</f>
        <v>0</v>
      </c>
      <c r="V140" s="1" t="e">
        <f t="shared" ref="V140:V203" si="18">+R140/N140</f>
        <v>#DIV/0!</v>
      </c>
    </row>
    <row r="141" spans="1:22" outlineLevel="1">
      <c r="A141" s="1" t="s">
        <v>204</v>
      </c>
      <c r="B141" s="1" t="s">
        <v>205</v>
      </c>
      <c r="C141" s="5">
        <v>0</v>
      </c>
      <c r="D141" s="5">
        <v>0</v>
      </c>
      <c r="E141" s="5">
        <v>0</v>
      </c>
      <c r="F141" s="2"/>
      <c r="G141" s="2">
        <f t="shared" si="15"/>
        <v>0</v>
      </c>
      <c r="H141" s="8">
        <v>1</v>
      </c>
      <c r="J141" s="2">
        <f t="shared" si="16"/>
        <v>0</v>
      </c>
      <c r="L141" s="9">
        <f t="shared" si="14"/>
        <v>0</v>
      </c>
      <c r="N141" s="2">
        <f>L141*([1]assessment!$J$272*[1]assessment!$F$3)</f>
        <v>0</v>
      </c>
      <c r="P141" s="7">
        <f>N141/[1]payroll!$F141</f>
        <v>0</v>
      </c>
      <c r="R141" s="2">
        <f>IF(P141&lt;$R$2,N141,[1]payroll!$F141*$R$2)</f>
        <v>0</v>
      </c>
      <c r="T141" s="10">
        <f t="shared" si="17"/>
        <v>0</v>
      </c>
      <c r="V141" s="1" t="e">
        <f t="shared" si="18"/>
        <v>#DIV/0!</v>
      </c>
    </row>
    <row r="142" spans="1:22" outlineLevel="1">
      <c r="A142" s="1" t="s">
        <v>206</v>
      </c>
      <c r="B142" s="1" t="s">
        <v>207</v>
      </c>
      <c r="C142" s="5">
        <v>287.87</v>
      </c>
      <c r="D142" s="5">
        <v>0</v>
      </c>
      <c r="E142" s="5">
        <v>0</v>
      </c>
      <c r="F142" s="2"/>
      <c r="G142" s="2">
        <f t="shared" si="15"/>
        <v>95.956666666666663</v>
      </c>
      <c r="H142" s="8">
        <v>1</v>
      </c>
      <c r="J142" s="2">
        <f t="shared" si="16"/>
        <v>95.956666666666663</v>
      </c>
      <c r="L142" s="9">
        <f t="shared" si="14"/>
        <v>2.6500802570458441E-6</v>
      </c>
      <c r="N142" s="2">
        <f>L142*([1]assessment!$J$272*[1]assessment!$F$3)</f>
        <v>95.446443852690976</v>
      </c>
      <c r="P142" s="7">
        <f>N142/[1]payroll!$F142</f>
        <v>9.3047274921803278E-5</v>
      </c>
      <c r="R142" s="2">
        <f>IF(P142&lt;$R$2,N142,[1]payroll!$F142*$R$2)</f>
        <v>95.446443852690976</v>
      </c>
      <c r="T142" s="10">
        <f t="shared" si="17"/>
        <v>0</v>
      </c>
      <c r="V142" s="1">
        <f t="shared" si="18"/>
        <v>1</v>
      </c>
    </row>
    <row r="143" spans="1:22" outlineLevel="1">
      <c r="A143" s="1" t="s">
        <v>491</v>
      </c>
      <c r="B143" s="1" t="s">
        <v>559</v>
      </c>
      <c r="C143" s="5">
        <v>1203.67</v>
      </c>
      <c r="D143" s="5">
        <v>0</v>
      </c>
      <c r="E143" s="5">
        <v>1012.56</v>
      </c>
      <c r="F143" s="2"/>
      <c r="G143" s="2">
        <f t="shared" si="15"/>
        <v>738.74333333333334</v>
      </c>
      <c r="H143" s="8">
        <v>1</v>
      </c>
      <c r="J143" s="2">
        <f t="shared" si="16"/>
        <v>738.74333333333334</v>
      </c>
      <c r="L143" s="9">
        <f t="shared" si="14"/>
        <v>2.0402221030578774E-5</v>
      </c>
      <c r="N143" s="2">
        <f>L143*([1]assessment!$J$272*[1]assessment!$F$3)</f>
        <v>734.81527168391756</v>
      </c>
      <c r="P143" s="7">
        <f>N143/[1]payroll!$F143</f>
        <v>6.9550746850987775E-4</v>
      </c>
      <c r="R143" s="2">
        <f>IF(P143&lt;$R$2,N143,[1]payroll!$F143*$R$2)</f>
        <v>734.81527168391756</v>
      </c>
      <c r="T143" s="10">
        <f t="shared" si="17"/>
        <v>0</v>
      </c>
      <c r="V143" s="1">
        <f t="shared" si="18"/>
        <v>1</v>
      </c>
    </row>
    <row r="144" spans="1:22" outlineLevel="1">
      <c r="A144" s="48" t="s">
        <v>595</v>
      </c>
      <c r="B144" s="48" t="s">
        <v>596</v>
      </c>
      <c r="C144" s="5">
        <v>0</v>
      </c>
      <c r="D144" s="5">
        <v>0</v>
      </c>
      <c r="E144" s="5">
        <v>0</v>
      </c>
      <c r="F144" s="2"/>
      <c r="G144" s="2">
        <f t="shared" si="15"/>
        <v>0</v>
      </c>
      <c r="H144" s="8">
        <v>1</v>
      </c>
      <c r="J144" s="2">
        <f t="shared" si="16"/>
        <v>0</v>
      </c>
      <c r="L144" s="9">
        <f t="shared" si="14"/>
        <v>0</v>
      </c>
      <c r="N144" s="2">
        <f>L144*([1]assessment!$J$272*[1]assessment!$F$3)</f>
        <v>0</v>
      </c>
      <c r="P144" s="7">
        <f>N144/[1]payroll!$F144</f>
        <v>0</v>
      </c>
      <c r="R144" s="2">
        <f>IF(P144&lt;$R$2,N144,[1]payroll!$F144*$R$2)</f>
        <v>0</v>
      </c>
      <c r="T144" s="10">
        <f t="shared" si="17"/>
        <v>0</v>
      </c>
      <c r="V144" s="1" t="e">
        <f t="shared" si="18"/>
        <v>#DIV/0!</v>
      </c>
    </row>
    <row r="145" spans="1:22" outlineLevel="1">
      <c r="A145" s="1" t="s">
        <v>208</v>
      </c>
      <c r="B145" s="1" t="s">
        <v>209</v>
      </c>
      <c r="C145" s="5">
        <v>0</v>
      </c>
      <c r="D145" s="5">
        <v>0</v>
      </c>
      <c r="E145" s="5">
        <v>0</v>
      </c>
      <c r="F145" s="2"/>
      <c r="G145" s="2">
        <f t="shared" si="15"/>
        <v>0</v>
      </c>
      <c r="H145" s="8">
        <v>1</v>
      </c>
      <c r="J145" s="2">
        <f t="shared" si="16"/>
        <v>0</v>
      </c>
      <c r="L145" s="9">
        <f t="shared" si="14"/>
        <v>0</v>
      </c>
      <c r="N145" s="2">
        <f>L145*([1]assessment!$J$272*[1]assessment!$F$3)</f>
        <v>0</v>
      </c>
      <c r="P145" s="7">
        <f>N145/[1]payroll!$F145</f>
        <v>0</v>
      </c>
      <c r="R145" s="2">
        <f>IF(P145&lt;$R$2,N145,[1]payroll!$F145*$R$2)</f>
        <v>0</v>
      </c>
      <c r="T145" s="10">
        <f t="shared" si="17"/>
        <v>0</v>
      </c>
      <c r="V145" s="1" t="e">
        <f t="shared" si="18"/>
        <v>#DIV/0!</v>
      </c>
    </row>
    <row r="146" spans="1:22" outlineLevel="1">
      <c r="A146" s="1" t="s">
        <v>210</v>
      </c>
      <c r="B146" s="1" t="s">
        <v>211</v>
      </c>
      <c r="C146" s="5">
        <v>0</v>
      </c>
      <c r="D146" s="5">
        <v>0</v>
      </c>
      <c r="E146" s="5">
        <v>0</v>
      </c>
      <c r="F146" s="2"/>
      <c r="G146" s="2">
        <f t="shared" si="15"/>
        <v>0</v>
      </c>
      <c r="H146" s="8">
        <v>1</v>
      </c>
      <c r="J146" s="2">
        <f t="shared" si="16"/>
        <v>0</v>
      </c>
      <c r="L146" s="9">
        <f t="shared" si="14"/>
        <v>0</v>
      </c>
      <c r="N146" s="2">
        <f>L146*([1]assessment!$J$272*[1]assessment!$F$3)</f>
        <v>0</v>
      </c>
      <c r="P146" s="7">
        <f>N146/[1]payroll!$F146</f>
        <v>0</v>
      </c>
      <c r="R146" s="2">
        <f>IF(P146&lt;$R$2,N146,[1]payroll!$F146*$R$2)</f>
        <v>0</v>
      </c>
      <c r="T146" s="10">
        <f t="shared" si="17"/>
        <v>0</v>
      </c>
      <c r="V146" s="1" t="e">
        <f t="shared" si="18"/>
        <v>#DIV/0!</v>
      </c>
    </row>
    <row r="147" spans="1:22" outlineLevel="1">
      <c r="A147" s="1" t="s">
        <v>212</v>
      </c>
      <c r="B147" s="1" t="s">
        <v>213</v>
      </c>
      <c r="C147" s="5">
        <v>370.93</v>
      </c>
      <c r="D147" s="5">
        <v>4611.53</v>
      </c>
      <c r="E147" s="5">
        <v>53.12</v>
      </c>
      <c r="F147" s="2"/>
      <c r="G147" s="2">
        <f t="shared" si="15"/>
        <v>1678.5266666666666</v>
      </c>
      <c r="H147" s="8">
        <v>1</v>
      </c>
      <c r="J147" s="2">
        <f t="shared" si="16"/>
        <v>1678.5266666666666</v>
      </c>
      <c r="L147" s="9">
        <f t="shared" si="14"/>
        <v>4.6356658008041515E-5</v>
      </c>
      <c r="N147" s="2">
        <f>L147*([1]assessment!$J$272*[1]assessment!$F$3)</f>
        <v>1669.6015692351882</v>
      </c>
      <c r="P147" s="7">
        <f>N147/[1]payroll!$F147</f>
        <v>5.5678915444684434E-4</v>
      </c>
      <c r="R147" s="2">
        <f>IF(P147&lt;$R$2,N147,[1]payroll!$F147*$R$2)</f>
        <v>1669.6015692351882</v>
      </c>
      <c r="T147" s="10">
        <f t="shared" si="17"/>
        <v>0</v>
      </c>
      <c r="V147" s="1">
        <f t="shared" si="18"/>
        <v>1</v>
      </c>
    </row>
    <row r="148" spans="1:22" outlineLevel="1">
      <c r="A148" s="1" t="s">
        <v>214</v>
      </c>
      <c r="B148" s="1" t="s">
        <v>215</v>
      </c>
      <c r="C148" s="5">
        <v>23350.28</v>
      </c>
      <c r="D148" s="5">
        <v>7408.92</v>
      </c>
      <c r="E148" s="5">
        <v>65061.279999999999</v>
      </c>
      <c r="F148" s="2"/>
      <c r="G148" s="2">
        <f t="shared" si="15"/>
        <v>31940.16</v>
      </c>
      <c r="H148" s="8">
        <v>1</v>
      </c>
      <c r="J148" s="2">
        <f t="shared" si="16"/>
        <v>31940.16</v>
      </c>
      <c r="L148" s="9">
        <f t="shared" si="14"/>
        <v>8.8210637533836858E-4</v>
      </c>
      <c r="N148" s="2">
        <f>L148*([1]assessment!$J$272*[1]assessment!$F$3)</f>
        <v>31770.327106881225</v>
      </c>
      <c r="P148" s="7">
        <f>N148/[1]payroll!$F148</f>
        <v>1.5650535165856597E-3</v>
      </c>
      <c r="R148" s="2">
        <f>IF(P148&lt;$R$2,N148,[1]payroll!$F148*$R$2)</f>
        <v>31770.327106881225</v>
      </c>
      <c r="T148" s="10">
        <f t="shared" si="17"/>
        <v>0</v>
      </c>
      <c r="V148" s="1">
        <f t="shared" si="18"/>
        <v>1</v>
      </c>
    </row>
    <row r="149" spans="1:22" outlineLevel="1">
      <c r="A149" s="1" t="s">
        <v>216</v>
      </c>
      <c r="B149" s="1" t="s">
        <v>217</v>
      </c>
      <c r="C149" s="5">
        <v>0</v>
      </c>
      <c r="D149" s="5">
        <v>0</v>
      </c>
      <c r="E149" s="5">
        <v>0</v>
      </c>
      <c r="F149" s="2"/>
      <c r="G149" s="2">
        <f t="shared" si="15"/>
        <v>0</v>
      </c>
      <c r="H149" s="8">
        <v>1</v>
      </c>
      <c r="J149" s="2">
        <f t="shared" si="16"/>
        <v>0</v>
      </c>
      <c r="L149" s="9">
        <f t="shared" si="14"/>
        <v>0</v>
      </c>
      <c r="N149" s="2">
        <f>L149*([1]assessment!$J$272*[1]assessment!$F$3)</f>
        <v>0</v>
      </c>
      <c r="P149" s="7">
        <f>N149/[1]payroll!$F149</f>
        <v>0</v>
      </c>
      <c r="R149" s="2">
        <f>IF(P149&lt;$R$2,N149,[1]payroll!$F149*$R$2)</f>
        <v>0</v>
      </c>
      <c r="T149" s="10">
        <f t="shared" si="17"/>
        <v>0</v>
      </c>
      <c r="V149" s="1" t="e">
        <f t="shared" si="18"/>
        <v>#DIV/0!</v>
      </c>
    </row>
    <row r="150" spans="1:22" outlineLevel="1">
      <c r="A150" s="1" t="s">
        <v>218</v>
      </c>
      <c r="B150" s="1" t="s">
        <v>219</v>
      </c>
      <c r="C150" s="5">
        <v>928.15</v>
      </c>
      <c r="D150" s="5">
        <v>248.12</v>
      </c>
      <c r="E150" s="5">
        <v>149.68</v>
      </c>
      <c r="F150" s="2"/>
      <c r="G150" s="2">
        <f t="shared" si="15"/>
        <v>441.98333333333335</v>
      </c>
      <c r="H150" s="8">
        <v>1</v>
      </c>
      <c r="J150" s="2">
        <f t="shared" si="16"/>
        <v>441.98333333333335</v>
      </c>
      <c r="L150" s="9">
        <f t="shared" si="14"/>
        <v>1.2206460960954379E-5</v>
      </c>
      <c r="N150" s="2">
        <f>L150*([1]assessment!$J$272*[1]assessment!$F$3)</f>
        <v>439.63321022154304</v>
      </c>
      <c r="P150" s="7">
        <f>N150/[1]payroll!$F150</f>
        <v>1.0537304915411872E-4</v>
      </c>
      <c r="R150" s="2">
        <f>IF(P150&lt;$R$2,N150,[1]payroll!$F150*$R$2)</f>
        <v>439.63321022154304</v>
      </c>
      <c r="T150" s="10">
        <f t="shared" si="17"/>
        <v>0</v>
      </c>
      <c r="V150" s="1">
        <f t="shared" si="18"/>
        <v>1</v>
      </c>
    </row>
    <row r="151" spans="1:22" outlineLevel="1">
      <c r="A151" s="1" t="s">
        <v>220</v>
      </c>
      <c r="B151" s="1" t="s">
        <v>221</v>
      </c>
      <c r="C151" s="5">
        <v>0</v>
      </c>
      <c r="D151" s="5">
        <v>0</v>
      </c>
      <c r="E151" s="5">
        <v>0</v>
      </c>
      <c r="F151" s="2"/>
      <c r="G151" s="2">
        <f t="shared" si="15"/>
        <v>0</v>
      </c>
      <c r="H151" s="8">
        <v>1</v>
      </c>
      <c r="J151" s="2">
        <f t="shared" si="16"/>
        <v>0</v>
      </c>
      <c r="L151" s="9">
        <f t="shared" si="14"/>
        <v>0</v>
      </c>
      <c r="N151" s="2">
        <f>L151*([1]assessment!$J$272*[1]assessment!$F$3)</f>
        <v>0</v>
      </c>
      <c r="P151" s="7">
        <f>N151/[1]payroll!$F151</f>
        <v>0</v>
      </c>
      <c r="R151" s="2">
        <f>IF(P151&lt;$R$2,N151,[1]payroll!$F151*$R$2)</f>
        <v>0</v>
      </c>
      <c r="T151" s="10">
        <f t="shared" si="17"/>
        <v>0</v>
      </c>
      <c r="V151" s="1" t="e">
        <f t="shared" si="18"/>
        <v>#DIV/0!</v>
      </c>
    </row>
    <row r="152" spans="1:22" outlineLevel="1">
      <c r="A152" s="1" t="s">
        <v>222</v>
      </c>
      <c r="B152" s="1" t="s">
        <v>223</v>
      </c>
      <c r="C152" s="5">
        <v>0</v>
      </c>
      <c r="D152" s="5">
        <v>0</v>
      </c>
      <c r="E152" s="5">
        <v>0</v>
      </c>
      <c r="F152" s="2"/>
      <c r="G152" s="2">
        <f t="shared" si="15"/>
        <v>0</v>
      </c>
      <c r="H152" s="8">
        <v>1</v>
      </c>
      <c r="J152" s="2">
        <f t="shared" si="16"/>
        <v>0</v>
      </c>
      <c r="L152" s="9">
        <f t="shared" si="14"/>
        <v>0</v>
      </c>
      <c r="N152" s="2">
        <f>L152*([1]assessment!$J$272*[1]assessment!$F$3)</f>
        <v>0</v>
      </c>
      <c r="P152" s="7">
        <f>N152/[1]payroll!$F152</f>
        <v>0</v>
      </c>
      <c r="R152" s="2">
        <f>IF(P152&lt;$R$2,N152,[1]payroll!$F152*$R$2)</f>
        <v>0</v>
      </c>
      <c r="T152" s="10">
        <f t="shared" si="17"/>
        <v>0</v>
      </c>
      <c r="V152" s="1" t="e">
        <f t="shared" si="18"/>
        <v>#DIV/0!</v>
      </c>
    </row>
    <row r="153" spans="1:22" outlineLevel="1">
      <c r="A153" s="1" t="s">
        <v>224</v>
      </c>
      <c r="B153" s="1" t="s">
        <v>225</v>
      </c>
      <c r="C153" s="5">
        <v>2254.1</v>
      </c>
      <c r="D153" s="5">
        <v>5620.14</v>
      </c>
      <c r="E153" s="5">
        <v>-63.54</v>
      </c>
      <c r="F153" s="2"/>
      <c r="G153" s="2">
        <f t="shared" si="15"/>
        <v>2603.5666666666666</v>
      </c>
      <c r="H153" s="8">
        <v>1</v>
      </c>
      <c r="J153" s="2">
        <f t="shared" si="16"/>
        <v>2603.5666666666666</v>
      </c>
      <c r="L153" s="9">
        <f t="shared" si="14"/>
        <v>7.1903921435745216E-5</v>
      </c>
      <c r="N153" s="2">
        <f>L153*([1]assessment!$J$272*[1]assessment!$F$3)</f>
        <v>2589.722927016408</v>
      </c>
      <c r="P153" s="7">
        <f>N153/[1]payroll!$F153</f>
        <v>1.2458357363549911E-3</v>
      </c>
      <c r="R153" s="2">
        <f>IF(P153&lt;$R$2,N153,[1]payroll!$F153*$R$2)</f>
        <v>2589.722927016408</v>
      </c>
      <c r="T153" s="10">
        <f t="shared" si="17"/>
        <v>0</v>
      </c>
      <c r="V153" s="1">
        <f t="shared" si="18"/>
        <v>1</v>
      </c>
    </row>
    <row r="154" spans="1:22" outlineLevel="1">
      <c r="A154" s="1" t="s">
        <v>226</v>
      </c>
      <c r="B154" s="1" t="s">
        <v>227</v>
      </c>
      <c r="C154" s="5">
        <v>0</v>
      </c>
      <c r="D154" s="5">
        <v>1842.54</v>
      </c>
      <c r="E154" s="5">
        <v>2476.44</v>
      </c>
      <c r="F154" s="2"/>
      <c r="G154" s="2">
        <f t="shared" si="15"/>
        <v>1439.6599999999999</v>
      </c>
      <c r="H154" s="8">
        <v>1</v>
      </c>
      <c r="J154" s="2">
        <f t="shared" si="16"/>
        <v>1439.6599999999999</v>
      </c>
      <c r="L154" s="9">
        <f t="shared" si="14"/>
        <v>3.975976527104547E-5</v>
      </c>
      <c r="N154" s="2">
        <f>L154*([1]assessment!$J$272*[1]assessment!$F$3)</f>
        <v>1432.0050094518194</v>
      </c>
      <c r="P154" s="7">
        <f>N154/[1]payroll!$F154</f>
        <v>2.6483699166067096E-4</v>
      </c>
      <c r="R154" s="2">
        <f>IF(P154&lt;$R$2,N154,[1]payroll!$F154*$R$2)</f>
        <v>1432.0050094518194</v>
      </c>
      <c r="T154" s="10">
        <f t="shared" si="17"/>
        <v>0</v>
      </c>
      <c r="V154" s="1">
        <f t="shared" si="18"/>
        <v>1</v>
      </c>
    </row>
    <row r="155" spans="1:22" outlineLevel="1">
      <c r="A155" s="1" t="s">
        <v>228</v>
      </c>
      <c r="B155" s="1" t="s">
        <v>229</v>
      </c>
      <c r="C155" s="5">
        <v>0</v>
      </c>
      <c r="D155" s="5">
        <v>2804.96</v>
      </c>
      <c r="E155" s="5">
        <v>8.7799999999999994</v>
      </c>
      <c r="F155" s="2"/>
      <c r="G155" s="2">
        <f t="shared" si="15"/>
        <v>937.91333333333341</v>
      </c>
      <c r="H155" s="8">
        <v>1</v>
      </c>
      <c r="J155" s="2">
        <f t="shared" si="16"/>
        <v>937.91333333333341</v>
      </c>
      <c r="L155" s="9">
        <f t="shared" si="14"/>
        <v>2.5902792310626928E-5</v>
      </c>
      <c r="N155" s="2">
        <f>L155*([1]assessment!$J$272*[1]assessment!$F$3)</f>
        <v>932.92624075475294</v>
      </c>
      <c r="P155" s="7">
        <f>N155/[1]payroll!$F155</f>
        <v>1.8063228487078106E-4</v>
      </c>
      <c r="R155" s="2">
        <f>IF(P155&lt;$R$2,N155,[1]payroll!$F155*$R$2)</f>
        <v>932.92624075475294</v>
      </c>
      <c r="T155" s="10">
        <f t="shared" si="17"/>
        <v>0</v>
      </c>
      <c r="V155" s="1">
        <f t="shared" si="18"/>
        <v>1</v>
      </c>
    </row>
    <row r="156" spans="1:22" outlineLevel="1">
      <c r="A156" s="1" t="s">
        <v>230</v>
      </c>
      <c r="B156" s="1" t="s">
        <v>231</v>
      </c>
      <c r="C156" s="5">
        <v>0</v>
      </c>
      <c r="D156" s="5">
        <v>0</v>
      </c>
      <c r="E156" s="5">
        <v>2436.67</v>
      </c>
      <c r="F156" s="2"/>
      <c r="G156" s="2">
        <f t="shared" si="15"/>
        <v>812.22333333333336</v>
      </c>
      <c r="H156" s="8">
        <v>1</v>
      </c>
      <c r="J156" s="2">
        <f t="shared" si="16"/>
        <v>812.22333333333336</v>
      </c>
      <c r="L156" s="9">
        <f t="shared" si="14"/>
        <v>2.2431552645068599E-5</v>
      </c>
      <c r="N156" s="2">
        <f>L156*([1]assessment!$J$272*[1]assessment!$F$3)</f>
        <v>807.90456227650168</v>
      </c>
      <c r="P156" s="7">
        <f>N156/[1]payroll!$F156</f>
        <v>1.3569640103703584E-3</v>
      </c>
      <c r="R156" s="2">
        <f>IF(P156&lt;$R$2,N156,[1]payroll!$F156*$R$2)</f>
        <v>807.90456227650168</v>
      </c>
      <c r="T156" s="10">
        <f t="shared" si="17"/>
        <v>0</v>
      </c>
      <c r="V156" s="1">
        <f t="shared" si="18"/>
        <v>1</v>
      </c>
    </row>
    <row r="157" spans="1:22" outlineLevel="1">
      <c r="A157" s="1" t="s">
        <v>571</v>
      </c>
      <c r="B157" s="1" t="s">
        <v>572</v>
      </c>
      <c r="C157" s="5">
        <v>0</v>
      </c>
      <c r="D157" s="5">
        <v>0</v>
      </c>
      <c r="E157" s="5">
        <v>0</v>
      </c>
      <c r="F157" s="2"/>
      <c r="G157" s="2">
        <f t="shared" si="15"/>
        <v>0</v>
      </c>
      <c r="H157" s="8">
        <v>1</v>
      </c>
      <c r="J157" s="2">
        <f t="shared" si="16"/>
        <v>0</v>
      </c>
      <c r="L157" s="9">
        <f t="shared" si="14"/>
        <v>0</v>
      </c>
      <c r="N157" s="2">
        <f>L157*([1]assessment!$J$272*[1]assessment!$F$3)</f>
        <v>0</v>
      </c>
      <c r="P157" s="7">
        <f>N157/[1]payroll!$F157</f>
        <v>0</v>
      </c>
      <c r="R157" s="2">
        <f>IF(P157&lt;$R$2,N157,[1]payroll!$F157*$R$2)</f>
        <v>0</v>
      </c>
      <c r="T157" s="10">
        <f t="shared" si="17"/>
        <v>0</v>
      </c>
      <c r="V157" s="1" t="e">
        <f t="shared" si="18"/>
        <v>#DIV/0!</v>
      </c>
    </row>
    <row r="158" spans="1:22" outlineLevel="1">
      <c r="A158" s="1" t="s">
        <v>232</v>
      </c>
      <c r="B158" s="1" t="s">
        <v>233</v>
      </c>
      <c r="C158" s="5">
        <v>0</v>
      </c>
      <c r="D158" s="5">
        <v>0</v>
      </c>
      <c r="E158" s="5">
        <v>0</v>
      </c>
      <c r="F158" s="2"/>
      <c r="G158" s="2">
        <f t="shared" si="15"/>
        <v>0</v>
      </c>
      <c r="H158" s="8">
        <v>1</v>
      </c>
      <c r="J158" s="2">
        <f t="shared" si="16"/>
        <v>0</v>
      </c>
      <c r="L158" s="9">
        <f t="shared" si="14"/>
        <v>0</v>
      </c>
      <c r="N158" s="2">
        <f>L158*([1]assessment!$J$272*[1]assessment!$F$3)</f>
        <v>0</v>
      </c>
      <c r="P158" s="7">
        <f>N158/[1]payroll!$F158</f>
        <v>0</v>
      </c>
      <c r="R158" s="2">
        <f>IF(P158&lt;$R$2,N158,[1]payroll!$F158*$R$2)</f>
        <v>0</v>
      </c>
      <c r="T158" s="10">
        <f t="shared" si="17"/>
        <v>0</v>
      </c>
      <c r="V158" s="1" t="e">
        <f t="shared" si="18"/>
        <v>#DIV/0!</v>
      </c>
    </row>
    <row r="159" spans="1:22" outlineLevel="1">
      <c r="A159" s="1" t="s">
        <v>234</v>
      </c>
      <c r="B159" s="1" t="s">
        <v>235</v>
      </c>
      <c r="C159" s="5">
        <v>0</v>
      </c>
      <c r="D159" s="5">
        <v>0</v>
      </c>
      <c r="E159" s="5">
        <v>0</v>
      </c>
      <c r="F159" s="2"/>
      <c r="G159" s="2">
        <f t="shared" si="15"/>
        <v>0</v>
      </c>
      <c r="H159" s="8">
        <v>1</v>
      </c>
      <c r="J159" s="2">
        <f t="shared" si="16"/>
        <v>0</v>
      </c>
      <c r="L159" s="9">
        <f t="shared" si="14"/>
        <v>0</v>
      </c>
      <c r="N159" s="2">
        <f>L159*([1]assessment!$J$272*[1]assessment!$F$3)</f>
        <v>0</v>
      </c>
      <c r="P159" s="7">
        <f>N159/[1]payroll!$F159</f>
        <v>0</v>
      </c>
      <c r="R159" s="2">
        <f>IF(P159&lt;$R$2,N159,[1]payroll!$F159*$R$2)</f>
        <v>0</v>
      </c>
      <c r="T159" s="10">
        <f t="shared" si="17"/>
        <v>0</v>
      </c>
      <c r="V159" s="1" t="e">
        <f t="shared" si="18"/>
        <v>#DIV/0!</v>
      </c>
    </row>
    <row r="160" spans="1:22" outlineLevel="1">
      <c r="A160" s="1" t="s">
        <v>236</v>
      </c>
      <c r="B160" s="1" t="s">
        <v>237</v>
      </c>
      <c r="C160" s="5">
        <v>0</v>
      </c>
      <c r="D160" s="5">
        <v>0</v>
      </c>
      <c r="E160" s="5">
        <v>0</v>
      </c>
      <c r="F160" s="2"/>
      <c r="G160" s="2">
        <f t="shared" si="15"/>
        <v>0</v>
      </c>
      <c r="H160" s="8">
        <v>1</v>
      </c>
      <c r="J160" s="2">
        <f t="shared" si="16"/>
        <v>0</v>
      </c>
      <c r="L160" s="9">
        <f t="shared" si="14"/>
        <v>0</v>
      </c>
      <c r="N160" s="2">
        <f>L160*([1]assessment!$J$272*[1]assessment!$F$3)</f>
        <v>0</v>
      </c>
      <c r="P160" s="7">
        <f>N160/[1]payroll!$F160</f>
        <v>0</v>
      </c>
      <c r="R160" s="2">
        <f>IF(P160&lt;$R$2,N160,[1]payroll!$F160*$R$2)</f>
        <v>0</v>
      </c>
      <c r="T160" s="10">
        <f t="shared" si="17"/>
        <v>0</v>
      </c>
      <c r="V160" s="1" t="e">
        <f t="shared" si="18"/>
        <v>#DIV/0!</v>
      </c>
    </row>
    <row r="161" spans="1:22" outlineLevel="1">
      <c r="A161" s="1" t="s">
        <v>238</v>
      </c>
      <c r="B161" s="1" t="s">
        <v>239</v>
      </c>
      <c r="C161" s="5">
        <v>0</v>
      </c>
      <c r="D161" s="5">
        <v>0</v>
      </c>
      <c r="E161" s="5">
        <v>0</v>
      </c>
      <c r="F161" s="2"/>
      <c r="G161" s="2">
        <f t="shared" si="15"/>
        <v>0</v>
      </c>
      <c r="H161" s="8">
        <v>1</v>
      </c>
      <c r="J161" s="2">
        <f t="shared" si="16"/>
        <v>0</v>
      </c>
      <c r="L161" s="9">
        <f t="shared" si="14"/>
        <v>0</v>
      </c>
      <c r="N161" s="2">
        <f>L161*([1]assessment!$J$272*[1]assessment!$F$3)</f>
        <v>0</v>
      </c>
      <c r="P161" s="7">
        <f>N161/[1]payroll!$F161</f>
        <v>0</v>
      </c>
      <c r="R161" s="2">
        <f>IF(P161&lt;$R$2,N161,[1]payroll!$F161*$R$2)</f>
        <v>0</v>
      </c>
      <c r="T161" s="10">
        <f t="shared" si="17"/>
        <v>0</v>
      </c>
      <c r="V161" s="1" t="e">
        <f t="shared" si="18"/>
        <v>#DIV/0!</v>
      </c>
    </row>
    <row r="162" spans="1:22" outlineLevel="1">
      <c r="A162" s="1" t="s">
        <v>240</v>
      </c>
      <c r="B162" s="1" t="s">
        <v>241</v>
      </c>
      <c r="C162" s="5">
        <v>0</v>
      </c>
      <c r="D162" s="5">
        <v>0</v>
      </c>
      <c r="E162" s="5">
        <v>0</v>
      </c>
      <c r="F162" s="2"/>
      <c r="G162" s="2">
        <f t="shared" si="15"/>
        <v>0</v>
      </c>
      <c r="H162" s="8">
        <v>1</v>
      </c>
      <c r="J162" s="2">
        <f t="shared" si="16"/>
        <v>0</v>
      </c>
      <c r="L162" s="9">
        <f t="shared" si="14"/>
        <v>0</v>
      </c>
      <c r="N162" s="2">
        <f>L162*([1]assessment!$J$272*[1]assessment!$F$3)</f>
        <v>0</v>
      </c>
      <c r="P162" s="7">
        <f>N162/[1]payroll!$F162</f>
        <v>0</v>
      </c>
      <c r="R162" s="2">
        <f>IF(P162&lt;$R$2,N162,[1]payroll!$F162*$R$2)</f>
        <v>0</v>
      </c>
      <c r="T162" s="10">
        <f t="shared" si="17"/>
        <v>0</v>
      </c>
      <c r="V162" s="1" t="e">
        <f t="shared" si="18"/>
        <v>#DIV/0!</v>
      </c>
    </row>
    <row r="163" spans="1:22" outlineLevel="1">
      <c r="A163" s="1" t="s">
        <v>242</v>
      </c>
      <c r="B163" s="1" t="s">
        <v>243</v>
      </c>
      <c r="C163" s="5">
        <v>0</v>
      </c>
      <c r="D163" s="5">
        <v>0</v>
      </c>
      <c r="E163" s="5">
        <v>0</v>
      </c>
      <c r="F163" s="2"/>
      <c r="G163" s="2">
        <f t="shared" si="15"/>
        <v>0</v>
      </c>
      <c r="H163" s="8">
        <v>1</v>
      </c>
      <c r="J163" s="2">
        <f t="shared" si="16"/>
        <v>0</v>
      </c>
      <c r="L163" s="9">
        <f t="shared" si="14"/>
        <v>0</v>
      </c>
      <c r="N163" s="2">
        <f>L163*([1]assessment!$J$272*[1]assessment!$F$3)</f>
        <v>0</v>
      </c>
      <c r="P163" s="7">
        <f>N163/[1]payroll!$F163</f>
        <v>0</v>
      </c>
      <c r="R163" s="2">
        <f>IF(P163&lt;$R$2,N163,[1]payroll!$F163*$R$2)</f>
        <v>0</v>
      </c>
      <c r="T163" s="10">
        <f t="shared" si="17"/>
        <v>0</v>
      </c>
      <c r="V163" s="1" t="e">
        <f t="shared" si="18"/>
        <v>#DIV/0!</v>
      </c>
    </row>
    <row r="164" spans="1:22" outlineLevel="1">
      <c r="A164" s="1" t="s">
        <v>483</v>
      </c>
      <c r="B164" s="1" t="s">
        <v>484</v>
      </c>
      <c r="C164" s="5">
        <v>0</v>
      </c>
      <c r="D164" s="5">
        <v>0</v>
      </c>
      <c r="E164" s="5">
        <v>0</v>
      </c>
      <c r="F164" s="2"/>
      <c r="G164" s="2">
        <f t="shared" si="15"/>
        <v>0</v>
      </c>
      <c r="H164" s="8">
        <v>1</v>
      </c>
      <c r="J164" s="2">
        <f t="shared" si="16"/>
        <v>0</v>
      </c>
      <c r="L164" s="9">
        <f t="shared" si="14"/>
        <v>0</v>
      </c>
      <c r="N164" s="2">
        <f>L164*([1]assessment!$J$272*[1]assessment!$F$3)</f>
        <v>0</v>
      </c>
      <c r="P164" s="7">
        <f>N164/[1]payroll!$F164</f>
        <v>0</v>
      </c>
      <c r="R164" s="2">
        <f>IF(P164&lt;$R$2,N164,[1]payroll!$F164*$R$2)</f>
        <v>0</v>
      </c>
      <c r="T164" s="10">
        <f t="shared" si="17"/>
        <v>0</v>
      </c>
      <c r="V164" s="1" t="e">
        <f t="shared" si="18"/>
        <v>#DIV/0!</v>
      </c>
    </row>
    <row r="165" spans="1:22" outlineLevel="1">
      <c r="A165" s="1" t="s">
        <v>244</v>
      </c>
      <c r="B165" s="1" t="s">
        <v>245</v>
      </c>
      <c r="C165" s="5">
        <v>27305.5</v>
      </c>
      <c r="D165" s="5">
        <v>10953.02</v>
      </c>
      <c r="E165" s="5">
        <v>9727.84</v>
      </c>
      <c r="F165" s="2"/>
      <c r="G165" s="2">
        <f t="shared" si="15"/>
        <v>15995.453333333333</v>
      </c>
      <c r="H165" s="8">
        <v>1</v>
      </c>
      <c r="J165" s="2">
        <f t="shared" si="16"/>
        <v>15995.453333333333</v>
      </c>
      <c r="L165" s="9">
        <f t="shared" si="14"/>
        <v>4.417539349133095E-4</v>
      </c>
      <c r="N165" s="2">
        <f>L165*([1]assessment!$J$272*[1]assessment!$F$3)</f>
        <v>15910.401971150228</v>
      </c>
      <c r="P165" s="7">
        <f>N165/[1]payroll!$F165</f>
        <v>6.3948124730964315E-4</v>
      </c>
      <c r="R165" s="2">
        <f>IF(P165&lt;$R$2,N165,[1]payroll!$F165*$R$2)</f>
        <v>15910.401971150228</v>
      </c>
      <c r="T165" s="10">
        <f t="shared" si="17"/>
        <v>0</v>
      </c>
      <c r="V165" s="1">
        <f t="shared" si="18"/>
        <v>1</v>
      </c>
    </row>
    <row r="166" spans="1:22" outlineLevel="1">
      <c r="A166" s="1" t="s">
        <v>246</v>
      </c>
      <c r="B166" s="1" t="s">
        <v>247</v>
      </c>
      <c r="C166" s="5">
        <v>0</v>
      </c>
      <c r="D166" s="5">
        <v>0</v>
      </c>
      <c r="E166" s="5">
        <v>0</v>
      </c>
      <c r="F166" s="2"/>
      <c r="G166" s="2">
        <f t="shared" si="15"/>
        <v>0</v>
      </c>
      <c r="H166" s="8">
        <v>1</v>
      </c>
      <c r="J166" s="2">
        <f t="shared" si="16"/>
        <v>0</v>
      </c>
      <c r="L166" s="9">
        <f t="shared" si="14"/>
        <v>0</v>
      </c>
      <c r="N166" s="2">
        <f>L166*([1]assessment!$J$272*[1]assessment!$F$3)</f>
        <v>0</v>
      </c>
      <c r="P166" s="7">
        <f>N166/[1]payroll!$F166</f>
        <v>0</v>
      </c>
      <c r="R166" s="2">
        <f>IF(P166&lt;$R$2,N166,[1]payroll!$F166*$R$2)</f>
        <v>0</v>
      </c>
      <c r="T166" s="10">
        <f t="shared" si="17"/>
        <v>0</v>
      </c>
      <c r="V166" s="1" t="e">
        <f t="shared" si="18"/>
        <v>#DIV/0!</v>
      </c>
    </row>
    <row r="167" spans="1:22" outlineLevel="1">
      <c r="A167" s="1" t="s">
        <v>248</v>
      </c>
      <c r="B167" s="1" t="s">
        <v>249</v>
      </c>
      <c r="C167" s="5">
        <v>0</v>
      </c>
      <c r="D167" s="5">
        <v>0</v>
      </c>
      <c r="E167" s="5">
        <v>0</v>
      </c>
      <c r="F167" s="2"/>
      <c r="G167" s="2">
        <f t="shared" si="15"/>
        <v>0</v>
      </c>
      <c r="H167" s="8">
        <v>1</v>
      </c>
      <c r="J167" s="2">
        <f t="shared" si="16"/>
        <v>0</v>
      </c>
      <c r="L167" s="9">
        <f t="shared" si="14"/>
        <v>0</v>
      </c>
      <c r="N167" s="2">
        <f>L167*([1]assessment!$J$272*[1]assessment!$F$3)</f>
        <v>0</v>
      </c>
      <c r="P167" s="7">
        <f>N167/[1]payroll!$F167</f>
        <v>0</v>
      </c>
      <c r="R167" s="2">
        <f>IF(P167&lt;$R$2,N167,[1]payroll!$F167*$R$2)</f>
        <v>0</v>
      </c>
      <c r="T167" s="10">
        <f t="shared" si="17"/>
        <v>0</v>
      </c>
      <c r="V167" s="1" t="e">
        <f t="shared" si="18"/>
        <v>#DIV/0!</v>
      </c>
    </row>
    <row r="168" spans="1:22" outlineLevel="1">
      <c r="A168" s="1" t="s">
        <v>250</v>
      </c>
      <c r="B168" s="1" t="s">
        <v>251</v>
      </c>
      <c r="C168" s="5">
        <v>0</v>
      </c>
      <c r="D168" s="5">
        <v>1336.5</v>
      </c>
      <c r="E168" s="5">
        <v>0</v>
      </c>
      <c r="F168" s="2"/>
      <c r="G168" s="2">
        <f t="shared" si="15"/>
        <v>445.5</v>
      </c>
      <c r="H168" s="8">
        <v>1</v>
      </c>
      <c r="J168" s="2">
        <f t="shared" si="16"/>
        <v>445.5</v>
      </c>
      <c r="L168" s="9">
        <f t="shared" si="14"/>
        <v>1.2303582393239207E-5</v>
      </c>
      <c r="N168" s="2">
        <f>L168*([1]assessment!$J$272*[1]assessment!$F$3)</f>
        <v>443.13117799396076</v>
      </c>
      <c r="P168" s="7">
        <f>N168/[1]payroll!$F168</f>
        <v>7.8873773389606536E-5</v>
      </c>
      <c r="R168" s="2">
        <f>IF(P168&lt;$R$2,N168,[1]payroll!$F168*$R$2)</f>
        <v>443.13117799396076</v>
      </c>
      <c r="T168" s="10">
        <f t="shared" si="17"/>
        <v>0</v>
      </c>
      <c r="V168" s="1">
        <f t="shared" si="18"/>
        <v>1</v>
      </c>
    </row>
    <row r="169" spans="1:22" outlineLevel="1">
      <c r="A169" s="1" t="s">
        <v>252</v>
      </c>
      <c r="B169" s="1" t="s">
        <v>253</v>
      </c>
      <c r="C169" s="5">
        <v>0</v>
      </c>
      <c r="D169" s="5">
        <v>0</v>
      </c>
      <c r="E169" s="5">
        <v>0</v>
      </c>
      <c r="F169" s="2"/>
      <c r="G169" s="2">
        <f t="shared" si="15"/>
        <v>0</v>
      </c>
      <c r="H169" s="8">
        <v>1</v>
      </c>
      <c r="J169" s="2">
        <f t="shared" si="16"/>
        <v>0</v>
      </c>
      <c r="L169" s="9">
        <f t="shared" si="14"/>
        <v>0</v>
      </c>
      <c r="N169" s="2">
        <f>L169*([1]assessment!$J$272*[1]assessment!$F$3)</f>
        <v>0</v>
      </c>
      <c r="P169" s="7">
        <f>N169/[1]payroll!$F169</f>
        <v>0</v>
      </c>
      <c r="R169" s="2">
        <f>IF(P169&lt;$R$2,N169,[1]payroll!$F169*$R$2)</f>
        <v>0</v>
      </c>
      <c r="T169" s="10">
        <f t="shared" si="17"/>
        <v>0</v>
      </c>
      <c r="V169" s="1" t="e">
        <f t="shared" si="18"/>
        <v>#DIV/0!</v>
      </c>
    </row>
    <row r="170" spans="1:22" outlineLevel="1">
      <c r="A170" s="1" t="s">
        <v>254</v>
      </c>
      <c r="B170" s="1" t="s">
        <v>255</v>
      </c>
      <c r="C170" s="5">
        <v>180</v>
      </c>
      <c r="D170" s="5">
        <v>0</v>
      </c>
      <c r="E170" s="5">
        <v>0</v>
      </c>
      <c r="F170" s="2"/>
      <c r="G170" s="2">
        <f t="shared" si="15"/>
        <v>60</v>
      </c>
      <c r="H170" s="8">
        <v>1</v>
      </c>
      <c r="J170" s="2">
        <f t="shared" si="16"/>
        <v>60</v>
      </c>
      <c r="L170" s="9">
        <f t="shared" si="14"/>
        <v>1.6570481337695902E-6</v>
      </c>
      <c r="N170" s="2">
        <f>L170*([1]assessment!$J$272*[1]assessment!$F$3)</f>
        <v>59.680966733193372</v>
      </c>
      <c r="P170" s="7">
        <f>N170/[1]payroll!$F170</f>
        <v>3.2747015427092414E-5</v>
      </c>
      <c r="R170" s="2">
        <f>IF(P170&lt;$R$2,N170,[1]payroll!$F170*$R$2)</f>
        <v>59.680966733193372</v>
      </c>
      <c r="T170" s="10">
        <f t="shared" si="17"/>
        <v>0</v>
      </c>
      <c r="V170" s="1">
        <f t="shared" si="18"/>
        <v>1</v>
      </c>
    </row>
    <row r="171" spans="1:22" outlineLevel="1">
      <c r="A171" s="1" t="s">
        <v>256</v>
      </c>
      <c r="B171" s="1" t="s">
        <v>257</v>
      </c>
      <c r="C171" s="5">
        <v>180</v>
      </c>
      <c r="D171" s="5">
        <v>1677.17</v>
      </c>
      <c r="E171" s="5">
        <v>0</v>
      </c>
      <c r="F171" s="2"/>
      <c r="G171" s="2">
        <f t="shared" si="15"/>
        <v>619.05666666666673</v>
      </c>
      <c r="H171" s="8">
        <v>1</v>
      </c>
      <c r="J171" s="2">
        <f t="shared" si="16"/>
        <v>619.05666666666673</v>
      </c>
      <c r="L171" s="9">
        <f t="shared" si="14"/>
        <v>1.7096778236627058E-5</v>
      </c>
      <c r="N171" s="2">
        <f>L171*([1]assessment!$J$272*[1]assessment!$F$3)</f>
        <v>615.76500548824868</v>
      </c>
      <c r="P171" s="7">
        <f>N171/[1]payroll!$F171</f>
        <v>3.8525655866435691E-4</v>
      </c>
      <c r="R171" s="2">
        <f>IF(P171&lt;$R$2,N171,[1]payroll!$F171*$R$2)</f>
        <v>615.76500548824868</v>
      </c>
      <c r="T171" s="10">
        <f t="shared" si="17"/>
        <v>0</v>
      </c>
      <c r="V171" s="1">
        <f t="shared" si="18"/>
        <v>1</v>
      </c>
    </row>
    <row r="172" spans="1:22" outlineLevel="1">
      <c r="A172" s="1" t="s">
        <v>258</v>
      </c>
      <c r="B172" s="1" t="s">
        <v>259</v>
      </c>
      <c r="C172" s="5">
        <v>9189.0300000000007</v>
      </c>
      <c r="D172" s="5">
        <v>611.24</v>
      </c>
      <c r="E172" s="5">
        <v>8304.6299999999992</v>
      </c>
      <c r="F172" s="2"/>
      <c r="G172" s="2">
        <f t="shared" si="15"/>
        <v>6034.9666666666672</v>
      </c>
      <c r="H172" s="8">
        <v>1</v>
      </c>
      <c r="J172" s="2">
        <f t="shared" si="16"/>
        <v>6034.9666666666672</v>
      </c>
      <c r="L172" s="9">
        <f t="shared" si="14"/>
        <v>1.6667050420602809E-4</v>
      </c>
      <c r="N172" s="2">
        <f>L172*([1]assessment!$J$272*[1]assessment!$F$3)</f>
        <v>6002.877414487737</v>
      </c>
      <c r="P172" s="7">
        <f>N172/[1]payroll!$F172</f>
        <v>7.7452370946133359E-4</v>
      </c>
      <c r="R172" s="2">
        <f>IF(P172&lt;$R$2,N172,[1]payroll!$F172*$R$2)</f>
        <v>6002.877414487737</v>
      </c>
      <c r="T172" s="10">
        <f t="shared" si="17"/>
        <v>0</v>
      </c>
      <c r="V172" s="1">
        <f t="shared" si="18"/>
        <v>1</v>
      </c>
    </row>
    <row r="173" spans="1:22" outlineLevel="1">
      <c r="A173" s="1" t="s">
        <v>260</v>
      </c>
      <c r="B173" s="1" t="s">
        <v>261</v>
      </c>
      <c r="C173" s="5">
        <v>0</v>
      </c>
      <c r="D173" s="5">
        <v>0</v>
      </c>
      <c r="E173" s="5">
        <v>0</v>
      </c>
      <c r="F173" s="2"/>
      <c r="G173" s="2">
        <f t="shared" ref="G173:G204" si="19">IF(SUM(C173:E173)&gt;0,AVERAGE(C173:E173),0)</f>
        <v>0</v>
      </c>
      <c r="H173" s="8">
        <v>1</v>
      </c>
      <c r="J173" s="2">
        <f t="shared" ref="J173:J203" si="20">+G173*H173</f>
        <v>0</v>
      </c>
      <c r="L173" s="9">
        <f t="shared" si="14"/>
        <v>0</v>
      </c>
      <c r="N173" s="2">
        <f>L173*([1]assessment!$J$272*[1]assessment!$F$3)</f>
        <v>0</v>
      </c>
      <c r="P173" s="7">
        <f>N173/[1]payroll!$F173</f>
        <v>0</v>
      </c>
      <c r="R173" s="2">
        <f>IF(P173&lt;$R$2,N173,[1]payroll!$F173*$R$2)</f>
        <v>0</v>
      </c>
      <c r="T173" s="10">
        <f t="shared" si="17"/>
        <v>0</v>
      </c>
      <c r="V173" s="1" t="e">
        <f t="shared" si="18"/>
        <v>#DIV/0!</v>
      </c>
    </row>
    <row r="174" spans="1:22" outlineLevel="1">
      <c r="A174" s="1" t="s">
        <v>262</v>
      </c>
      <c r="B174" s="1" t="s">
        <v>263</v>
      </c>
      <c r="C174" s="5">
        <v>0</v>
      </c>
      <c r="D174" s="5">
        <v>0</v>
      </c>
      <c r="E174" s="5">
        <v>0</v>
      </c>
      <c r="F174" s="2"/>
      <c r="G174" s="2">
        <f t="shared" si="19"/>
        <v>0</v>
      </c>
      <c r="H174" s="8">
        <v>1</v>
      </c>
      <c r="J174" s="2">
        <f t="shared" si="20"/>
        <v>0</v>
      </c>
      <c r="L174" s="9">
        <f t="shared" si="14"/>
        <v>0</v>
      </c>
      <c r="N174" s="2">
        <f>L174*([1]assessment!$J$272*[1]assessment!$F$3)</f>
        <v>0</v>
      </c>
      <c r="P174" s="7">
        <f>N174/[1]payroll!$F174</f>
        <v>0</v>
      </c>
      <c r="R174" s="2">
        <f>IF(P174&lt;$R$2,N174,[1]payroll!$F174*$R$2)</f>
        <v>0</v>
      </c>
      <c r="T174" s="10">
        <f t="shared" si="17"/>
        <v>0</v>
      </c>
      <c r="V174" s="1" t="e">
        <f t="shared" si="18"/>
        <v>#DIV/0!</v>
      </c>
    </row>
    <row r="175" spans="1:22" outlineLevel="1">
      <c r="A175" s="1" t="s">
        <v>264</v>
      </c>
      <c r="B175" s="1" t="s">
        <v>265</v>
      </c>
      <c r="C175" s="5">
        <v>0</v>
      </c>
      <c r="D175" s="5">
        <v>0</v>
      </c>
      <c r="E175" s="5">
        <v>0</v>
      </c>
      <c r="F175" s="2"/>
      <c r="G175" s="2">
        <f t="shared" si="19"/>
        <v>0</v>
      </c>
      <c r="H175" s="8">
        <v>1</v>
      </c>
      <c r="J175" s="2">
        <f t="shared" si="20"/>
        <v>0</v>
      </c>
      <c r="L175" s="9">
        <f t="shared" si="14"/>
        <v>0</v>
      </c>
      <c r="N175" s="2">
        <f>L175*([1]assessment!$J$272*[1]assessment!$F$3)</f>
        <v>0</v>
      </c>
      <c r="P175" s="7">
        <f>N175/[1]payroll!$F175</f>
        <v>0</v>
      </c>
      <c r="R175" s="2">
        <f>IF(P175&lt;$R$2,N175,[1]payroll!$F175*$R$2)</f>
        <v>0</v>
      </c>
      <c r="T175" s="10">
        <f t="shared" si="17"/>
        <v>0</v>
      </c>
      <c r="V175" s="1" t="e">
        <f t="shared" si="18"/>
        <v>#DIV/0!</v>
      </c>
    </row>
    <row r="176" spans="1:22" outlineLevel="1">
      <c r="A176" s="1" t="s">
        <v>266</v>
      </c>
      <c r="B176" s="1" t="s">
        <v>267</v>
      </c>
      <c r="C176" s="5">
        <v>0</v>
      </c>
      <c r="D176" s="5">
        <v>0</v>
      </c>
      <c r="E176" s="5">
        <v>0</v>
      </c>
      <c r="F176" s="2"/>
      <c r="G176" s="2">
        <f t="shared" si="19"/>
        <v>0</v>
      </c>
      <c r="H176" s="8">
        <v>1</v>
      </c>
      <c r="J176" s="2">
        <f t="shared" si="20"/>
        <v>0</v>
      </c>
      <c r="L176" s="9">
        <f t="shared" si="14"/>
        <v>0</v>
      </c>
      <c r="N176" s="2">
        <f>L176*([1]assessment!$J$272*[1]assessment!$F$3)</f>
        <v>0</v>
      </c>
      <c r="P176" s="7">
        <f>N176/[1]payroll!$F176</f>
        <v>0</v>
      </c>
      <c r="R176" s="2">
        <f>IF(P176&lt;$R$2,N176,[1]payroll!$F176*$R$2)</f>
        <v>0</v>
      </c>
      <c r="T176" s="10">
        <f t="shared" si="17"/>
        <v>0</v>
      </c>
      <c r="V176" s="1" t="e">
        <f t="shared" si="18"/>
        <v>#DIV/0!</v>
      </c>
    </row>
    <row r="177" spans="1:22" outlineLevel="1">
      <c r="A177" s="1" t="s">
        <v>268</v>
      </c>
      <c r="B177" s="1" t="s">
        <v>269</v>
      </c>
      <c r="C177" s="5">
        <v>0</v>
      </c>
      <c r="D177" s="5">
        <v>0</v>
      </c>
      <c r="E177" s="5">
        <v>0</v>
      </c>
      <c r="F177" s="2"/>
      <c r="G177" s="2">
        <f t="shared" si="19"/>
        <v>0</v>
      </c>
      <c r="H177" s="8">
        <v>1</v>
      </c>
      <c r="J177" s="2">
        <f t="shared" si="20"/>
        <v>0</v>
      </c>
      <c r="L177" s="9">
        <f t="shared" si="14"/>
        <v>0</v>
      </c>
      <c r="N177" s="2">
        <f>L177*([1]assessment!$J$272*[1]assessment!$F$3)</f>
        <v>0</v>
      </c>
      <c r="P177" s="7">
        <f>N177/[1]payroll!$F177</f>
        <v>0</v>
      </c>
      <c r="R177" s="2">
        <f>IF(P177&lt;$R$2,N177,[1]payroll!$F177*$R$2)</f>
        <v>0</v>
      </c>
      <c r="T177" s="10">
        <f t="shared" si="17"/>
        <v>0</v>
      </c>
      <c r="V177" s="1" t="e">
        <f t="shared" si="18"/>
        <v>#DIV/0!</v>
      </c>
    </row>
    <row r="178" spans="1:22" outlineLevel="1">
      <c r="A178" s="1" t="s">
        <v>270</v>
      </c>
      <c r="B178" s="1" t="s">
        <v>271</v>
      </c>
      <c r="C178" s="5">
        <v>10053.620000000001</v>
      </c>
      <c r="D178" s="5">
        <v>948.1</v>
      </c>
      <c r="E178" s="5">
        <v>3809.51</v>
      </c>
      <c r="F178" s="2"/>
      <c r="G178" s="2">
        <f t="shared" si="19"/>
        <v>4937.0766666666668</v>
      </c>
      <c r="H178" s="8">
        <v>1</v>
      </c>
      <c r="J178" s="2">
        <f t="shared" si="20"/>
        <v>4937.0766666666668</v>
      </c>
      <c r="L178" s="9">
        <f t="shared" si="14"/>
        <v>1.3634956127962317E-4</v>
      </c>
      <c r="N178" s="2">
        <f>L178*([1]assessment!$J$272*[1]assessment!$F$3)</f>
        <v>4910.8251383759762</v>
      </c>
      <c r="P178" s="7">
        <f>N178/[1]payroll!$F178</f>
        <v>1.2837337843939389E-3</v>
      </c>
      <c r="R178" s="2">
        <f>IF(P178&lt;$R$2,N178,[1]payroll!$F178*$R$2)</f>
        <v>4910.8251383759762</v>
      </c>
      <c r="T178" s="10">
        <f t="shared" si="17"/>
        <v>0</v>
      </c>
      <c r="V178" s="1">
        <f t="shared" si="18"/>
        <v>1</v>
      </c>
    </row>
    <row r="179" spans="1:22" outlineLevel="1">
      <c r="A179" s="1" t="s">
        <v>272</v>
      </c>
      <c r="B179" s="1" t="s">
        <v>273</v>
      </c>
      <c r="C179" s="5">
        <v>0</v>
      </c>
      <c r="D179" s="5">
        <v>180</v>
      </c>
      <c r="E179" s="5">
        <v>0</v>
      </c>
      <c r="F179" s="2"/>
      <c r="G179" s="2">
        <f t="shared" si="19"/>
        <v>60</v>
      </c>
      <c r="H179" s="8">
        <v>1</v>
      </c>
      <c r="J179" s="2">
        <f t="shared" si="20"/>
        <v>60</v>
      </c>
      <c r="L179" s="9">
        <f t="shared" si="14"/>
        <v>1.6570481337695902E-6</v>
      </c>
      <c r="N179" s="2">
        <f>L179*([1]assessment!$J$272*[1]assessment!$F$3)</f>
        <v>59.680966733193372</v>
      </c>
      <c r="P179" s="7">
        <f>N179/[1]payroll!$F179</f>
        <v>2.111841351096797E-5</v>
      </c>
      <c r="R179" s="2">
        <f>IF(P179&lt;$R$2,N179,[1]payroll!$F179*$R$2)</f>
        <v>59.680966733193372</v>
      </c>
      <c r="T179" s="10">
        <f t="shared" si="17"/>
        <v>0</v>
      </c>
      <c r="V179" s="1">
        <f t="shared" si="18"/>
        <v>1</v>
      </c>
    </row>
    <row r="180" spans="1:22" outlineLevel="1">
      <c r="A180" s="1" t="s">
        <v>274</v>
      </c>
      <c r="B180" s="1" t="s">
        <v>275</v>
      </c>
      <c r="C180" s="5">
        <v>0</v>
      </c>
      <c r="D180" s="5">
        <v>0</v>
      </c>
      <c r="E180" s="5">
        <v>0</v>
      </c>
      <c r="F180" s="2"/>
      <c r="G180" s="2">
        <f t="shared" si="19"/>
        <v>0</v>
      </c>
      <c r="H180" s="8">
        <v>1</v>
      </c>
      <c r="J180" s="2">
        <f t="shared" si="20"/>
        <v>0</v>
      </c>
      <c r="L180" s="9">
        <f t="shared" si="14"/>
        <v>0</v>
      </c>
      <c r="N180" s="2">
        <f>L180*([1]assessment!$J$272*[1]assessment!$F$3)</f>
        <v>0</v>
      </c>
      <c r="P180" s="7">
        <f>N180/[1]payroll!$F180</f>
        <v>0</v>
      </c>
      <c r="R180" s="2">
        <f>IF(P180&lt;$R$2,N180,[1]payroll!$F180*$R$2)</f>
        <v>0</v>
      </c>
      <c r="T180" s="10">
        <f t="shared" si="17"/>
        <v>0</v>
      </c>
      <c r="V180" s="1" t="e">
        <f t="shared" si="18"/>
        <v>#DIV/0!</v>
      </c>
    </row>
    <row r="181" spans="1:22" outlineLevel="1">
      <c r="A181" s="1" t="s">
        <v>276</v>
      </c>
      <c r="B181" s="1" t="s">
        <v>277</v>
      </c>
      <c r="C181" s="5">
        <v>0</v>
      </c>
      <c r="D181" s="5">
        <v>0</v>
      </c>
      <c r="E181" s="5">
        <v>0</v>
      </c>
      <c r="F181" s="2"/>
      <c r="G181" s="2">
        <f t="shared" si="19"/>
        <v>0</v>
      </c>
      <c r="H181" s="8">
        <v>1</v>
      </c>
      <c r="J181" s="2">
        <f t="shared" si="20"/>
        <v>0</v>
      </c>
      <c r="L181" s="9">
        <f t="shared" si="14"/>
        <v>0</v>
      </c>
      <c r="N181" s="2">
        <f>L181*([1]assessment!$J$272*[1]assessment!$F$3)</f>
        <v>0</v>
      </c>
      <c r="P181" s="7">
        <f>N181/[1]payroll!$F181</f>
        <v>0</v>
      </c>
      <c r="R181" s="2">
        <f>IF(P181&lt;$R$2,N181,[1]payroll!$F181*$R$2)</f>
        <v>0</v>
      </c>
      <c r="T181" s="10">
        <f t="shared" si="17"/>
        <v>0</v>
      </c>
      <c r="V181" s="1" t="e">
        <f t="shared" si="18"/>
        <v>#DIV/0!</v>
      </c>
    </row>
    <row r="182" spans="1:22" outlineLevel="1">
      <c r="A182" s="1" t="s">
        <v>278</v>
      </c>
      <c r="B182" s="1" t="s">
        <v>279</v>
      </c>
      <c r="C182" s="5">
        <v>387.35</v>
      </c>
      <c r="D182" s="5">
        <v>8132.27</v>
      </c>
      <c r="E182" s="5">
        <v>2025.35</v>
      </c>
      <c r="F182" s="2"/>
      <c r="G182" s="2">
        <f t="shared" si="19"/>
        <v>3514.9900000000002</v>
      </c>
      <c r="H182" s="8">
        <v>1</v>
      </c>
      <c r="J182" s="2">
        <f t="shared" si="20"/>
        <v>3514.9900000000002</v>
      </c>
      <c r="L182" s="9">
        <f t="shared" si="14"/>
        <v>9.7075126995312867E-5</v>
      </c>
      <c r="N182" s="2">
        <f>L182*([1]assessment!$J$272*[1]assessment!$F$3)</f>
        <v>3496.3000209584561</v>
      </c>
      <c r="P182" s="7">
        <f>N182/[1]payroll!$F182</f>
        <v>2.5324591000850829E-3</v>
      </c>
      <c r="R182" s="2">
        <f>IF(P182&lt;$R$2,N182,[1]payroll!$F182*$R$2)</f>
        <v>3496.3000209584561</v>
      </c>
      <c r="T182" s="10">
        <f t="shared" si="17"/>
        <v>0</v>
      </c>
      <c r="V182" s="1">
        <f t="shared" si="18"/>
        <v>1</v>
      </c>
    </row>
    <row r="183" spans="1:22" outlineLevel="1">
      <c r="A183" s="1" t="s">
        <v>280</v>
      </c>
      <c r="B183" s="1" t="s">
        <v>281</v>
      </c>
      <c r="C183" s="5">
        <v>0</v>
      </c>
      <c r="D183" s="5">
        <v>0</v>
      </c>
      <c r="E183" s="5">
        <v>188.55</v>
      </c>
      <c r="F183" s="2"/>
      <c r="G183" s="2">
        <f t="shared" si="19"/>
        <v>62.85</v>
      </c>
      <c r="H183" s="8">
        <v>1</v>
      </c>
      <c r="J183" s="2">
        <f t="shared" si="20"/>
        <v>62.85</v>
      </c>
      <c r="L183" s="9">
        <f t="shared" si="14"/>
        <v>1.7357579201236458E-6</v>
      </c>
      <c r="N183" s="2">
        <f>L183*([1]assessment!$J$272*[1]assessment!$F$3)</f>
        <v>62.515812653020056</v>
      </c>
      <c r="P183" s="7">
        <f>N183/[1]payroll!$F183</f>
        <v>4.7191738056116883E-5</v>
      </c>
      <c r="R183" s="2">
        <f>IF(P183&lt;$R$2,N183,[1]payroll!$F183*$R$2)</f>
        <v>62.515812653020056</v>
      </c>
      <c r="T183" s="10">
        <f t="shared" si="17"/>
        <v>0</v>
      </c>
      <c r="V183" s="1">
        <f t="shared" si="18"/>
        <v>1</v>
      </c>
    </row>
    <row r="184" spans="1:22" outlineLevel="1">
      <c r="A184" s="1" t="s">
        <v>282</v>
      </c>
      <c r="B184" s="1" t="s">
        <v>283</v>
      </c>
      <c r="C184" s="5">
        <v>0</v>
      </c>
      <c r="D184" s="5">
        <v>0</v>
      </c>
      <c r="E184" s="5">
        <v>0</v>
      </c>
      <c r="F184" s="2"/>
      <c r="G184" s="2">
        <f t="shared" si="19"/>
        <v>0</v>
      </c>
      <c r="H184" s="8">
        <v>1</v>
      </c>
      <c r="J184" s="2">
        <f t="shared" si="20"/>
        <v>0</v>
      </c>
      <c r="L184" s="9">
        <f t="shared" si="14"/>
        <v>0</v>
      </c>
      <c r="N184" s="2">
        <f>L184*([1]assessment!$J$272*[1]assessment!$F$3)</f>
        <v>0</v>
      </c>
      <c r="P184" s="7">
        <f>N184/[1]payroll!$F184</f>
        <v>0</v>
      </c>
      <c r="R184" s="2">
        <f>IF(P184&lt;$R$2,N184,[1]payroll!$F184*$R$2)</f>
        <v>0</v>
      </c>
      <c r="T184" s="10">
        <f t="shared" si="17"/>
        <v>0</v>
      </c>
      <c r="V184" s="1" t="e">
        <f t="shared" si="18"/>
        <v>#DIV/0!</v>
      </c>
    </row>
    <row r="185" spans="1:22" outlineLevel="1">
      <c r="A185" s="1" t="s">
        <v>284</v>
      </c>
      <c r="B185" s="1" t="s">
        <v>285</v>
      </c>
      <c r="C185" s="5">
        <v>0</v>
      </c>
      <c r="D185" s="5">
        <v>0</v>
      </c>
      <c r="E185" s="5">
        <v>0</v>
      </c>
      <c r="F185" s="2"/>
      <c r="G185" s="2">
        <f t="shared" si="19"/>
        <v>0</v>
      </c>
      <c r="H185" s="8">
        <v>1</v>
      </c>
      <c r="J185" s="2">
        <f t="shared" si="20"/>
        <v>0</v>
      </c>
      <c r="L185" s="9">
        <f t="shared" si="14"/>
        <v>0</v>
      </c>
      <c r="N185" s="2">
        <f>L185*([1]assessment!$J$272*[1]assessment!$F$3)</f>
        <v>0</v>
      </c>
      <c r="P185" s="7">
        <f>N185/[1]payroll!$F185</f>
        <v>0</v>
      </c>
      <c r="R185" s="2">
        <f>IF(P185&lt;$R$2,N185,[1]payroll!$F185*$R$2)</f>
        <v>0</v>
      </c>
      <c r="T185" s="10">
        <f t="shared" si="17"/>
        <v>0</v>
      </c>
      <c r="V185" s="1" t="e">
        <f t="shared" si="18"/>
        <v>#DIV/0!</v>
      </c>
    </row>
    <row r="186" spans="1:22" outlineLevel="1">
      <c r="A186" s="1" t="s">
        <v>286</v>
      </c>
      <c r="B186" s="1" t="s">
        <v>287</v>
      </c>
      <c r="C186" s="5">
        <v>-46093.06</v>
      </c>
      <c r="D186" s="5">
        <v>4440.01</v>
      </c>
      <c r="E186" s="5">
        <v>11054.46</v>
      </c>
      <c r="F186" s="2"/>
      <c r="G186" s="2">
        <f t="shared" si="19"/>
        <v>0</v>
      </c>
      <c r="H186" s="8">
        <v>1</v>
      </c>
      <c r="J186" s="2">
        <f t="shared" si="20"/>
        <v>0</v>
      </c>
      <c r="L186" s="9">
        <f t="shared" si="14"/>
        <v>0</v>
      </c>
      <c r="N186" s="2">
        <f>L186*([1]assessment!$J$272*[1]assessment!$F$3)</f>
        <v>0</v>
      </c>
      <c r="P186" s="7">
        <f>N186/[1]payroll!$F186</f>
        <v>0</v>
      </c>
      <c r="R186" s="2">
        <f>IF(P186&lt;$R$2,N186,[1]payroll!$F186*$R$2)</f>
        <v>0</v>
      </c>
      <c r="T186" s="10">
        <f t="shared" si="17"/>
        <v>0</v>
      </c>
      <c r="V186" s="1" t="e">
        <f t="shared" si="18"/>
        <v>#DIV/0!</v>
      </c>
    </row>
    <row r="187" spans="1:22" outlineLevel="1">
      <c r="A187" s="1" t="s">
        <v>288</v>
      </c>
      <c r="B187" s="1" t="s">
        <v>289</v>
      </c>
      <c r="C187" s="5">
        <v>0</v>
      </c>
      <c r="D187" s="5">
        <v>0</v>
      </c>
      <c r="E187" s="5">
        <v>0</v>
      </c>
      <c r="F187" s="2"/>
      <c r="G187" s="2">
        <f t="shared" si="19"/>
        <v>0</v>
      </c>
      <c r="H187" s="8">
        <v>1</v>
      </c>
      <c r="J187" s="2">
        <f t="shared" si="20"/>
        <v>0</v>
      </c>
      <c r="L187" s="9">
        <f t="shared" si="14"/>
        <v>0</v>
      </c>
      <c r="N187" s="2">
        <f>L187*([1]assessment!$J$272*[1]assessment!$F$3)</f>
        <v>0</v>
      </c>
      <c r="P187" s="7">
        <f>N187/[1]payroll!$F187</f>
        <v>0</v>
      </c>
      <c r="R187" s="2">
        <f>IF(P187&lt;$R$2,N187,[1]payroll!$F187*$R$2)</f>
        <v>0</v>
      </c>
      <c r="T187" s="10">
        <f t="shared" si="17"/>
        <v>0</v>
      </c>
      <c r="V187" s="1" t="e">
        <f t="shared" si="18"/>
        <v>#DIV/0!</v>
      </c>
    </row>
    <row r="188" spans="1:22" outlineLevel="1">
      <c r="A188" s="1" t="s">
        <v>290</v>
      </c>
      <c r="B188" s="1" t="s">
        <v>291</v>
      </c>
      <c r="C188" s="5">
        <v>0</v>
      </c>
      <c r="D188" s="5">
        <v>0</v>
      </c>
      <c r="E188" s="5">
        <v>0</v>
      </c>
      <c r="F188" s="2"/>
      <c r="G188" s="2">
        <f t="shared" si="19"/>
        <v>0</v>
      </c>
      <c r="H188" s="8">
        <v>1</v>
      </c>
      <c r="J188" s="2">
        <f t="shared" si="20"/>
        <v>0</v>
      </c>
      <c r="L188" s="9">
        <f t="shared" si="14"/>
        <v>0</v>
      </c>
      <c r="N188" s="2">
        <f>L188*([1]assessment!$J$272*[1]assessment!$F$3)</f>
        <v>0</v>
      </c>
      <c r="P188" s="7">
        <f>N188/[1]payroll!$F188</f>
        <v>0</v>
      </c>
      <c r="R188" s="2">
        <f>IF(P188&lt;$R$2,N188,[1]payroll!$F188*$R$2)</f>
        <v>0</v>
      </c>
      <c r="T188" s="10">
        <f t="shared" si="17"/>
        <v>0</v>
      </c>
      <c r="V188" s="1" t="e">
        <f t="shared" si="18"/>
        <v>#DIV/0!</v>
      </c>
    </row>
    <row r="189" spans="1:22" outlineLevel="1">
      <c r="A189" s="1" t="s">
        <v>292</v>
      </c>
      <c r="B189" s="1" t="s">
        <v>293</v>
      </c>
      <c r="C189" s="5">
        <v>0</v>
      </c>
      <c r="D189" s="5">
        <v>0</v>
      </c>
      <c r="E189" s="5">
        <v>0</v>
      </c>
      <c r="F189" s="2"/>
      <c r="G189" s="2">
        <f t="shared" si="19"/>
        <v>0</v>
      </c>
      <c r="H189" s="8">
        <v>1</v>
      </c>
      <c r="J189" s="2">
        <f t="shared" si="20"/>
        <v>0</v>
      </c>
      <c r="L189" s="9">
        <f t="shared" si="14"/>
        <v>0</v>
      </c>
      <c r="N189" s="2">
        <f>L189*([1]assessment!$J$272*[1]assessment!$F$3)</f>
        <v>0</v>
      </c>
      <c r="P189" s="7">
        <f>N189/[1]payroll!$F189</f>
        <v>0</v>
      </c>
      <c r="R189" s="2">
        <f>IF(P189&lt;$R$2,N189,[1]payroll!$F189*$R$2)</f>
        <v>0</v>
      </c>
      <c r="T189" s="10">
        <f t="shared" si="17"/>
        <v>0</v>
      </c>
      <c r="V189" s="1" t="e">
        <f t="shared" si="18"/>
        <v>#DIV/0!</v>
      </c>
    </row>
    <row r="190" spans="1:22" outlineLevel="1">
      <c r="A190" s="1" t="s">
        <v>294</v>
      </c>
      <c r="B190" s="1" t="s">
        <v>295</v>
      </c>
      <c r="C190" s="5">
        <v>2722.56</v>
      </c>
      <c r="D190" s="5">
        <v>4369.1400000000003</v>
      </c>
      <c r="E190" s="5">
        <v>-3960.86</v>
      </c>
      <c r="F190" s="2"/>
      <c r="G190" s="2">
        <f t="shared" si="19"/>
        <v>1043.6133333333335</v>
      </c>
      <c r="H190" s="8">
        <v>1</v>
      </c>
      <c r="J190" s="2">
        <f t="shared" si="20"/>
        <v>1043.6133333333335</v>
      </c>
      <c r="L190" s="9">
        <f t="shared" si="14"/>
        <v>2.8821958772951027E-5</v>
      </c>
      <c r="N190" s="2">
        <f>L190*([1]assessment!$J$272*[1]assessment!$F$3)</f>
        <v>1038.064210483062</v>
      </c>
      <c r="P190" s="7">
        <f>N190/[1]payroll!$F190</f>
        <v>1.2405177652448937E-4</v>
      </c>
      <c r="R190" s="2">
        <f>IF(P190&lt;$R$2,N190,[1]payroll!$F190*$R$2)</f>
        <v>1038.064210483062</v>
      </c>
      <c r="T190" s="10">
        <f t="shared" si="17"/>
        <v>0</v>
      </c>
      <c r="V190" s="1">
        <f t="shared" si="18"/>
        <v>1</v>
      </c>
    </row>
    <row r="191" spans="1:22" outlineLevel="1">
      <c r="A191" s="1" t="s">
        <v>296</v>
      </c>
      <c r="B191" s="1" t="s">
        <v>297</v>
      </c>
      <c r="C191" s="5">
        <v>0</v>
      </c>
      <c r="D191" s="5">
        <v>0</v>
      </c>
      <c r="E191" s="5">
        <v>0</v>
      </c>
      <c r="F191" s="2"/>
      <c r="G191" s="2">
        <f t="shared" si="19"/>
        <v>0</v>
      </c>
      <c r="H191" s="8">
        <v>1</v>
      </c>
      <c r="J191" s="2">
        <f t="shared" si="20"/>
        <v>0</v>
      </c>
      <c r="L191" s="9">
        <f t="shared" si="14"/>
        <v>0</v>
      </c>
      <c r="N191" s="2">
        <f>L191*([1]assessment!$J$272*[1]assessment!$F$3)</f>
        <v>0</v>
      </c>
      <c r="P191" s="7">
        <f>N191/[1]payroll!$F191</f>
        <v>0</v>
      </c>
      <c r="R191" s="2">
        <f>IF(P191&lt;$R$2,N191,[1]payroll!$F191*$R$2)</f>
        <v>0</v>
      </c>
      <c r="T191" s="10">
        <f t="shared" si="17"/>
        <v>0</v>
      </c>
      <c r="V191" s="1" t="e">
        <f t="shared" si="18"/>
        <v>#DIV/0!</v>
      </c>
    </row>
    <row r="192" spans="1:22" outlineLevel="1">
      <c r="A192" s="1" t="s">
        <v>298</v>
      </c>
      <c r="B192" s="1" t="s">
        <v>299</v>
      </c>
      <c r="C192" s="5">
        <v>0</v>
      </c>
      <c r="D192" s="5">
        <v>0</v>
      </c>
      <c r="E192" s="5">
        <v>0</v>
      </c>
      <c r="F192" s="2"/>
      <c r="G192" s="2">
        <f t="shared" si="19"/>
        <v>0</v>
      </c>
      <c r="H192" s="8">
        <v>1</v>
      </c>
      <c r="J192" s="2">
        <f t="shared" si="20"/>
        <v>0</v>
      </c>
      <c r="L192" s="9">
        <f t="shared" si="14"/>
        <v>0</v>
      </c>
      <c r="N192" s="2">
        <f>L192*([1]assessment!$J$272*[1]assessment!$F$3)</f>
        <v>0</v>
      </c>
      <c r="P192" s="7">
        <f>N192/[1]payroll!$F192</f>
        <v>0</v>
      </c>
      <c r="R192" s="2">
        <f>IF(P192&lt;$R$2,N192,[1]payroll!$F192*$R$2)</f>
        <v>0</v>
      </c>
      <c r="T192" s="10">
        <f t="shared" si="17"/>
        <v>0</v>
      </c>
      <c r="V192" s="1" t="e">
        <f t="shared" si="18"/>
        <v>#DIV/0!</v>
      </c>
    </row>
    <row r="193" spans="1:22" outlineLevel="1">
      <c r="A193" s="1" t="s">
        <v>300</v>
      </c>
      <c r="B193" s="1" t="s">
        <v>301</v>
      </c>
      <c r="C193" s="5">
        <v>0</v>
      </c>
      <c r="D193" s="5">
        <v>0</v>
      </c>
      <c r="E193" s="5">
        <v>0</v>
      </c>
      <c r="F193" s="2"/>
      <c r="G193" s="2">
        <f t="shared" si="19"/>
        <v>0</v>
      </c>
      <c r="H193" s="8">
        <v>1</v>
      </c>
      <c r="J193" s="2">
        <f t="shared" si="20"/>
        <v>0</v>
      </c>
      <c r="L193" s="9">
        <f t="shared" si="14"/>
        <v>0</v>
      </c>
      <c r="N193" s="2">
        <f>L193*([1]assessment!$J$272*[1]assessment!$F$3)</f>
        <v>0</v>
      </c>
      <c r="P193" s="7">
        <f>N193/[1]payroll!$F193</f>
        <v>0</v>
      </c>
      <c r="R193" s="2">
        <f>IF(P193&lt;$R$2,N193,[1]payroll!$F193*$R$2)</f>
        <v>0</v>
      </c>
      <c r="T193" s="10">
        <f t="shared" si="17"/>
        <v>0</v>
      </c>
      <c r="V193" s="1" t="e">
        <f t="shared" si="18"/>
        <v>#DIV/0!</v>
      </c>
    </row>
    <row r="194" spans="1:22" outlineLevel="1">
      <c r="A194" s="1" t="s">
        <v>302</v>
      </c>
      <c r="B194" s="1" t="s">
        <v>303</v>
      </c>
      <c r="C194" s="5">
        <v>0</v>
      </c>
      <c r="D194" s="5">
        <v>0</v>
      </c>
      <c r="E194" s="5">
        <v>0</v>
      </c>
      <c r="F194" s="2"/>
      <c r="G194" s="2">
        <f t="shared" si="19"/>
        <v>0</v>
      </c>
      <c r="H194" s="8">
        <v>1</v>
      </c>
      <c r="J194" s="2">
        <f t="shared" si="20"/>
        <v>0</v>
      </c>
      <c r="L194" s="9">
        <f t="shared" si="14"/>
        <v>0</v>
      </c>
      <c r="N194" s="2">
        <f>L194*([1]assessment!$J$272*[1]assessment!$F$3)</f>
        <v>0</v>
      </c>
      <c r="P194" s="7">
        <f>N194/[1]payroll!$F194</f>
        <v>0</v>
      </c>
      <c r="R194" s="2">
        <f>IF(P194&lt;$R$2,N194,[1]payroll!$F194*$R$2)</f>
        <v>0</v>
      </c>
      <c r="T194" s="10">
        <f t="shared" si="17"/>
        <v>0</v>
      </c>
      <c r="V194" s="1" t="e">
        <f t="shared" si="18"/>
        <v>#DIV/0!</v>
      </c>
    </row>
    <row r="195" spans="1:22" outlineLevel="1">
      <c r="A195" s="1" t="s">
        <v>304</v>
      </c>
      <c r="B195" s="1" t="s">
        <v>305</v>
      </c>
      <c r="C195" s="5">
        <v>0</v>
      </c>
      <c r="D195" s="5">
        <v>1129.3900000000001</v>
      </c>
      <c r="E195" s="5">
        <v>2596.36</v>
      </c>
      <c r="F195" s="2"/>
      <c r="G195" s="2">
        <f t="shared" si="19"/>
        <v>1241.9166666666667</v>
      </c>
      <c r="H195" s="8">
        <v>1</v>
      </c>
      <c r="J195" s="2">
        <f t="shared" si="20"/>
        <v>1241.9166666666667</v>
      </c>
      <c r="L195" s="9">
        <f t="shared" si="14"/>
        <v>3.4298594913289173E-5</v>
      </c>
      <c r="N195" s="2">
        <f>L195*([1]assessment!$J$272*[1]assessment!$F$3)</f>
        <v>1235.3131211455291</v>
      </c>
      <c r="P195" s="7">
        <f>N195/[1]payroll!$F195</f>
        <v>2.2772545114413309E-3</v>
      </c>
      <c r="R195" s="2">
        <f>IF(P195&lt;$R$2,N195,[1]payroll!$F195*$R$2)</f>
        <v>1235.3131211455291</v>
      </c>
      <c r="T195" s="10">
        <f t="shared" si="17"/>
        <v>0</v>
      </c>
      <c r="V195" s="1">
        <f t="shared" si="18"/>
        <v>1</v>
      </c>
    </row>
    <row r="196" spans="1:22" outlineLevel="1">
      <c r="A196" s="1" t="s">
        <v>306</v>
      </c>
      <c r="B196" s="1" t="s">
        <v>307</v>
      </c>
      <c r="C196" s="5">
        <v>0</v>
      </c>
      <c r="D196" s="5">
        <v>0</v>
      </c>
      <c r="E196" s="5">
        <v>0</v>
      </c>
      <c r="F196" s="2"/>
      <c r="G196" s="2">
        <f t="shared" si="19"/>
        <v>0</v>
      </c>
      <c r="H196" s="8">
        <v>1</v>
      </c>
      <c r="J196" s="2">
        <f t="shared" si="20"/>
        <v>0</v>
      </c>
      <c r="L196" s="9">
        <f t="shared" si="14"/>
        <v>0</v>
      </c>
      <c r="N196" s="2">
        <f>L196*([1]assessment!$J$272*[1]assessment!$F$3)</f>
        <v>0</v>
      </c>
      <c r="P196" s="7">
        <f>N196/[1]payroll!$F196</f>
        <v>0</v>
      </c>
      <c r="R196" s="2">
        <f>IF(P196&lt;$R$2,N196,[1]payroll!$F196*$R$2)</f>
        <v>0</v>
      </c>
      <c r="T196" s="10">
        <f t="shared" si="17"/>
        <v>0</v>
      </c>
      <c r="V196" s="1" t="e">
        <f t="shared" si="18"/>
        <v>#DIV/0!</v>
      </c>
    </row>
    <row r="197" spans="1:22" outlineLevel="1">
      <c r="A197" s="1" t="s">
        <v>308</v>
      </c>
      <c r="B197" s="1" t="s">
        <v>309</v>
      </c>
      <c r="C197" s="5">
        <v>1524.73</v>
      </c>
      <c r="D197" s="5">
        <v>3554.78</v>
      </c>
      <c r="E197" s="5">
        <v>21326.080000000002</v>
      </c>
      <c r="F197" s="2"/>
      <c r="G197" s="2">
        <f t="shared" si="19"/>
        <v>8801.8633333333346</v>
      </c>
      <c r="H197" s="8">
        <v>1</v>
      </c>
      <c r="J197" s="2">
        <f t="shared" si="20"/>
        <v>8801.8633333333346</v>
      </c>
      <c r="L197" s="9">
        <f t="shared" ref="L197:L261" si="21">+J197/$J$264</f>
        <v>2.4308518683658311E-4</v>
      </c>
      <c r="N197" s="2">
        <f>L197*([1]assessment!$J$272*[1]assessment!$F$3)</f>
        <v>8755.0618797796869</v>
      </c>
      <c r="P197" s="7">
        <f>N197/[1]payroll!$F197</f>
        <v>3.0480270378034972E-2</v>
      </c>
      <c r="R197" s="2">
        <f>IF(P197&lt;$R$2,N197,[1]payroll!$F197*$R$2)</f>
        <v>8755.0618797796869</v>
      </c>
      <c r="T197" s="10">
        <f t="shared" si="17"/>
        <v>0</v>
      </c>
      <c r="V197" s="1">
        <f t="shared" si="18"/>
        <v>1</v>
      </c>
    </row>
    <row r="198" spans="1:22" outlineLevel="1">
      <c r="A198" s="1" t="s">
        <v>310</v>
      </c>
      <c r="B198" s="11" t="s">
        <v>584</v>
      </c>
      <c r="C198" s="5">
        <v>0</v>
      </c>
      <c r="D198" s="5">
        <v>0</v>
      </c>
      <c r="E198" s="5">
        <v>0</v>
      </c>
      <c r="F198" s="2"/>
      <c r="G198" s="2">
        <f t="shared" si="19"/>
        <v>0</v>
      </c>
      <c r="H198" s="8">
        <v>1</v>
      </c>
      <c r="J198" s="2">
        <f t="shared" si="20"/>
        <v>0</v>
      </c>
      <c r="L198" s="9">
        <f t="shared" si="21"/>
        <v>0</v>
      </c>
      <c r="N198" s="2">
        <f>L198*([1]assessment!$J$272*[1]assessment!$F$3)</f>
        <v>0</v>
      </c>
      <c r="P198" s="7">
        <f>N198/[1]payroll!$F198</f>
        <v>0</v>
      </c>
      <c r="R198" s="2">
        <f>IF(P198&lt;$R$2,N198,[1]payroll!$F198*$R$2)</f>
        <v>0</v>
      </c>
      <c r="T198" s="10">
        <f t="shared" si="17"/>
        <v>0</v>
      </c>
      <c r="V198" s="1" t="e">
        <f t="shared" si="18"/>
        <v>#DIV/0!</v>
      </c>
    </row>
    <row r="199" spans="1:22" outlineLevel="1">
      <c r="A199" s="1" t="s">
        <v>312</v>
      </c>
      <c r="B199" s="1" t="s">
        <v>313</v>
      </c>
      <c r="C199" s="5">
        <v>0</v>
      </c>
      <c r="D199" s="5">
        <v>0</v>
      </c>
      <c r="E199" s="5">
        <v>0</v>
      </c>
      <c r="F199" s="2"/>
      <c r="G199" s="2">
        <f t="shared" si="19"/>
        <v>0</v>
      </c>
      <c r="H199" s="8">
        <v>1</v>
      </c>
      <c r="J199" s="2">
        <f t="shared" si="20"/>
        <v>0</v>
      </c>
      <c r="L199" s="9">
        <f t="shared" si="21"/>
        <v>0</v>
      </c>
      <c r="N199" s="2">
        <f>L199*([1]assessment!$J$272*[1]assessment!$F$3)</f>
        <v>0</v>
      </c>
      <c r="P199" s="7">
        <f>N199/[1]payroll!$F199</f>
        <v>0</v>
      </c>
      <c r="R199" s="2">
        <f>IF(P199&lt;$R$2,N199,[1]payroll!$F199*$R$2)</f>
        <v>0</v>
      </c>
      <c r="T199" s="10">
        <f t="shared" si="17"/>
        <v>0</v>
      </c>
      <c r="V199" s="1" t="e">
        <f t="shared" si="18"/>
        <v>#DIV/0!</v>
      </c>
    </row>
    <row r="200" spans="1:22" outlineLevel="1">
      <c r="A200" s="1" t="s">
        <v>314</v>
      </c>
      <c r="B200" s="1" t="s">
        <v>315</v>
      </c>
      <c r="C200" s="5">
        <v>0</v>
      </c>
      <c r="D200" s="5">
        <v>0</v>
      </c>
      <c r="E200" s="5">
        <v>0</v>
      </c>
      <c r="F200" s="2"/>
      <c r="G200" s="2">
        <f t="shared" si="19"/>
        <v>0</v>
      </c>
      <c r="H200" s="8">
        <v>1</v>
      </c>
      <c r="J200" s="2">
        <f t="shared" si="20"/>
        <v>0</v>
      </c>
      <c r="L200" s="9">
        <f t="shared" si="21"/>
        <v>0</v>
      </c>
      <c r="N200" s="2">
        <f>L200*([1]assessment!$J$272*[1]assessment!$F$3)</f>
        <v>0</v>
      </c>
      <c r="P200" s="7">
        <f>N200/[1]payroll!$F200</f>
        <v>0</v>
      </c>
      <c r="R200" s="2">
        <f>IF(P200&lt;$R$2,N200,[1]payroll!$F200*$R$2)</f>
        <v>0</v>
      </c>
      <c r="T200" s="10">
        <f t="shared" si="17"/>
        <v>0</v>
      </c>
      <c r="V200" s="1" t="e">
        <f t="shared" si="18"/>
        <v>#DIV/0!</v>
      </c>
    </row>
    <row r="201" spans="1:22" outlineLevel="1">
      <c r="A201" s="1" t="s">
        <v>316</v>
      </c>
      <c r="B201" s="1" t="s">
        <v>317</v>
      </c>
      <c r="C201" s="5">
        <v>0</v>
      </c>
      <c r="D201" s="5">
        <v>1414</v>
      </c>
      <c r="E201" s="5">
        <v>410.94</v>
      </c>
      <c r="F201" s="2"/>
      <c r="G201" s="2">
        <f t="shared" si="19"/>
        <v>608.31333333333339</v>
      </c>
      <c r="H201" s="8">
        <v>1</v>
      </c>
      <c r="J201" s="2">
        <f t="shared" si="20"/>
        <v>608.31333333333339</v>
      </c>
      <c r="L201" s="9">
        <f t="shared" si="21"/>
        <v>1.6800074562452646E-5</v>
      </c>
      <c r="N201" s="2">
        <f>L201*([1]assessment!$J$272*[1]assessment!$F$3)</f>
        <v>605.07879683374404</v>
      </c>
      <c r="P201" s="7">
        <f>N201/[1]payroll!$F201</f>
        <v>2.336547262261183E-4</v>
      </c>
      <c r="R201" s="2">
        <f>IF(P201&lt;$R$2,N201,[1]payroll!$F201*$R$2)</f>
        <v>605.07879683374404</v>
      </c>
      <c r="T201" s="10">
        <f t="shared" si="17"/>
        <v>0</v>
      </c>
      <c r="V201" s="1">
        <f t="shared" si="18"/>
        <v>1</v>
      </c>
    </row>
    <row r="202" spans="1:22" outlineLevel="1">
      <c r="A202" s="1" t="s">
        <v>318</v>
      </c>
      <c r="B202" s="1" t="s">
        <v>319</v>
      </c>
      <c r="C202" s="5">
        <v>0</v>
      </c>
      <c r="D202" s="5">
        <v>0</v>
      </c>
      <c r="E202" s="5">
        <v>0</v>
      </c>
      <c r="F202" s="2"/>
      <c r="G202" s="2">
        <f t="shared" si="19"/>
        <v>0</v>
      </c>
      <c r="H202" s="8">
        <v>1</v>
      </c>
      <c r="J202" s="2">
        <f t="shared" si="20"/>
        <v>0</v>
      </c>
      <c r="L202" s="9">
        <f t="shared" si="21"/>
        <v>0</v>
      </c>
      <c r="N202" s="2">
        <f>L202*([1]assessment!$J$272*[1]assessment!$F$3)</f>
        <v>0</v>
      </c>
      <c r="P202" s="7">
        <f>N202/[1]payroll!$F202</f>
        <v>0</v>
      </c>
      <c r="R202" s="2">
        <f>IF(P202&lt;$R$2,N202,[1]payroll!$F202*$R$2)</f>
        <v>0</v>
      </c>
      <c r="T202" s="10">
        <f t="shared" si="17"/>
        <v>0</v>
      </c>
      <c r="V202" s="1" t="e">
        <f t="shared" si="18"/>
        <v>#DIV/0!</v>
      </c>
    </row>
    <row r="203" spans="1:22" outlineLevel="1">
      <c r="A203" s="1" t="s">
        <v>320</v>
      </c>
      <c r="B203" s="1" t="s">
        <v>321</v>
      </c>
      <c r="C203" s="5">
        <v>0</v>
      </c>
      <c r="D203" s="5">
        <v>0</v>
      </c>
      <c r="E203" s="5">
        <v>0</v>
      </c>
      <c r="F203" s="2"/>
      <c r="G203" s="2">
        <f t="shared" si="19"/>
        <v>0</v>
      </c>
      <c r="H203" s="8">
        <v>1</v>
      </c>
      <c r="J203" s="2">
        <f t="shared" si="20"/>
        <v>0</v>
      </c>
      <c r="L203" s="9">
        <f t="shared" si="21"/>
        <v>0</v>
      </c>
      <c r="N203" s="2">
        <f>L203*([1]assessment!$J$272*[1]assessment!$F$3)</f>
        <v>0</v>
      </c>
      <c r="P203" s="7">
        <f>N203/[1]payroll!$F203</f>
        <v>0</v>
      </c>
      <c r="R203" s="2">
        <f>IF(P203&lt;$R$2,N203,[1]payroll!$F203*$R$2)</f>
        <v>0</v>
      </c>
      <c r="T203" s="10">
        <f t="shared" si="17"/>
        <v>0</v>
      </c>
      <c r="V203" s="1" t="e">
        <f t="shared" si="18"/>
        <v>#DIV/0!</v>
      </c>
    </row>
    <row r="204" spans="1:22" outlineLevel="1">
      <c r="A204" s="1" t="s">
        <v>492</v>
      </c>
      <c r="B204" s="1" t="s">
        <v>490</v>
      </c>
      <c r="C204" s="5">
        <v>42778.42</v>
      </c>
      <c r="D204" s="5">
        <v>41971.28</v>
      </c>
      <c r="E204" s="5">
        <v>41971.28</v>
      </c>
      <c r="F204" s="2"/>
      <c r="G204" s="2">
        <f t="shared" si="19"/>
        <v>42240.326666666668</v>
      </c>
      <c r="H204" s="8">
        <v>1</v>
      </c>
      <c r="J204" s="2">
        <f>+G204*H204</f>
        <v>42240.326666666668</v>
      </c>
      <c r="L204" s="9">
        <f t="shared" si="21"/>
        <v>1.1665709078802977E-3</v>
      </c>
      <c r="N204" s="2">
        <f>L204*([1]assessment!$J$272*[1]assessment!$F$3)</f>
        <v>42015.725509875905</v>
      </c>
      <c r="P204" s="7">
        <f>N204/[1]payroll!$F204</f>
        <v>8.0856860809649586E-2</v>
      </c>
      <c r="R204" s="2">
        <f>IF(P204&lt;$R$2,N204,[1]payroll!$F204*$R$2)</f>
        <v>20785.237066666672</v>
      </c>
      <c r="T204" s="10">
        <f t="shared" ref="T204:T261" si="22">+N204-R204</f>
        <v>21230.488443209233</v>
      </c>
      <c r="V204" s="1">
        <f t="shared" ref="V204:V262" si="23">+R204/N204</f>
        <v>0.49470137227027172</v>
      </c>
    </row>
    <row r="205" spans="1:22" outlineLevel="1">
      <c r="A205" s="1" t="s">
        <v>322</v>
      </c>
      <c r="B205" s="1" t="s">
        <v>323</v>
      </c>
      <c r="C205" s="5">
        <v>0</v>
      </c>
      <c r="D205" s="5">
        <v>0</v>
      </c>
      <c r="E205" s="5">
        <v>0</v>
      </c>
      <c r="F205" s="2"/>
      <c r="G205" s="2">
        <f t="shared" ref="G205:G235" si="24">IF(SUM(C205:E205)&gt;0,AVERAGE(C205:E205),0)</f>
        <v>0</v>
      </c>
      <c r="H205" s="8">
        <v>1</v>
      </c>
      <c r="J205" s="2">
        <f t="shared" ref="J205:J235" si="25">+G205*H205</f>
        <v>0</v>
      </c>
      <c r="L205" s="9">
        <f t="shared" si="21"/>
        <v>0</v>
      </c>
      <c r="N205" s="2">
        <f>L205*([1]assessment!$J$272*[1]assessment!$F$3)</f>
        <v>0</v>
      </c>
      <c r="P205" s="7">
        <f>N205/[1]payroll!$F205</f>
        <v>0</v>
      </c>
      <c r="R205" s="2">
        <f>IF(P205&lt;$R$2,N205,[1]payroll!$F205*$R$2)</f>
        <v>0</v>
      </c>
      <c r="T205" s="10">
        <f t="shared" si="22"/>
        <v>0</v>
      </c>
      <c r="V205" s="1" t="e">
        <f t="shared" si="23"/>
        <v>#DIV/0!</v>
      </c>
    </row>
    <row r="206" spans="1:22" outlineLevel="1">
      <c r="A206" s="1" t="s">
        <v>324</v>
      </c>
      <c r="B206" s="1" t="s">
        <v>325</v>
      </c>
      <c r="C206" s="5">
        <v>0</v>
      </c>
      <c r="D206" s="5">
        <v>0</v>
      </c>
      <c r="E206" s="5">
        <v>0</v>
      </c>
      <c r="F206" s="2"/>
      <c r="G206" s="2">
        <f t="shared" si="24"/>
        <v>0</v>
      </c>
      <c r="H206" s="8">
        <v>1</v>
      </c>
      <c r="J206" s="2">
        <f t="shared" si="25"/>
        <v>0</v>
      </c>
      <c r="L206" s="9">
        <f t="shared" si="21"/>
        <v>0</v>
      </c>
      <c r="N206" s="2">
        <f>L206*([1]assessment!$J$272*[1]assessment!$F$3)</f>
        <v>0</v>
      </c>
      <c r="P206" s="7">
        <f>N206/[1]payroll!$F206</f>
        <v>0</v>
      </c>
      <c r="R206" s="2">
        <f>IF(P206&lt;$R$2,N206,[1]payroll!$F206*$R$2)</f>
        <v>0</v>
      </c>
      <c r="T206" s="10">
        <f t="shared" si="22"/>
        <v>0</v>
      </c>
      <c r="V206" s="1" t="e">
        <f t="shared" si="23"/>
        <v>#DIV/0!</v>
      </c>
    </row>
    <row r="207" spans="1:22" outlineLevel="1">
      <c r="A207" s="1" t="s">
        <v>326</v>
      </c>
      <c r="B207" s="1" t="s">
        <v>327</v>
      </c>
      <c r="C207" s="5">
        <v>0</v>
      </c>
      <c r="D207" s="5">
        <v>0</v>
      </c>
      <c r="E207" s="5">
        <v>0</v>
      </c>
      <c r="F207" s="2"/>
      <c r="G207" s="2">
        <f t="shared" si="24"/>
        <v>0</v>
      </c>
      <c r="H207" s="8">
        <v>1</v>
      </c>
      <c r="J207" s="2">
        <f t="shared" si="25"/>
        <v>0</v>
      </c>
      <c r="L207" s="9">
        <f t="shared" si="21"/>
        <v>0</v>
      </c>
      <c r="N207" s="2">
        <f>L207*([1]assessment!$J$272*[1]assessment!$F$3)</f>
        <v>0</v>
      </c>
      <c r="P207" s="7">
        <f>N207/[1]payroll!$F207</f>
        <v>0</v>
      </c>
      <c r="R207" s="2">
        <f>IF(P207&lt;$R$2,N207,[1]payroll!$F207*$R$2)</f>
        <v>0</v>
      </c>
      <c r="T207" s="10">
        <f t="shared" si="22"/>
        <v>0</v>
      </c>
      <c r="V207" s="1" t="e">
        <f t="shared" si="23"/>
        <v>#DIV/0!</v>
      </c>
    </row>
    <row r="208" spans="1:22" outlineLevel="1">
      <c r="A208" s="1" t="s">
        <v>328</v>
      </c>
      <c r="B208" s="1" t="s">
        <v>329</v>
      </c>
      <c r="C208" s="5">
        <v>0</v>
      </c>
      <c r="D208" s="5">
        <v>0</v>
      </c>
      <c r="E208" s="5">
        <v>0</v>
      </c>
      <c r="F208" s="2"/>
      <c r="G208" s="2">
        <f t="shared" si="24"/>
        <v>0</v>
      </c>
      <c r="H208" s="8">
        <v>1</v>
      </c>
      <c r="J208" s="2">
        <f t="shared" si="25"/>
        <v>0</v>
      </c>
      <c r="L208" s="9">
        <f t="shared" si="21"/>
        <v>0</v>
      </c>
      <c r="N208" s="2">
        <f>L208*([1]assessment!$J$272*[1]assessment!$F$3)</f>
        <v>0</v>
      </c>
      <c r="P208" s="7">
        <f>N208/[1]payroll!$F208</f>
        <v>0</v>
      </c>
      <c r="R208" s="2">
        <f>IF(P208&lt;$R$2,N208,[1]payroll!$F208*$R$2)</f>
        <v>0</v>
      </c>
      <c r="T208" s="10">
        <f t="shared" si="22"/>
        <v>0</v>
      </c>
      <c r="V208" s="1" t="e">
        <f t="shared" si="23"/>
        <v>#DIV/0!</v>
      </c>
    </row>
    <row r="209" spans="1:22" outlineLevel="1">
      <c r="A209" s="1" t="s">
        <v>330</v>
      </c>
      <c r="B209" s="1" t="s">
        <v>331</v>
      </c>
      <c r="C209" s="5">
        <v>0</v>
      </c>
      <c r="D209" s="5">
        <v>0</v>
      </c>
      <c r="E209" s="5">
        <v>1828.37</v>
      </c>
      <c r="F209" s="2"/>
      <c r="G209" s="2">
        <f t="shared" si="24"/>
        <v>609.45666666666659</v>
      </c>
      <c r="H209" s="8">
        <v>1</v>
      </c>
      <c r="J209" s="2">
        <f t="shared" si="25"/>
        <v>609.45666666666659</v>
      </c>
      <c r="L209" s="9">
        <f t="shared" si="21"/>
        <v>1.6831650535223917E-5</v>
      </c>
      <c r="N209" s="2">
        <f>L209*([1]assessment!$J$272*[1]assessment!$F$3)</f>
        <v>606.21605081093742</v>
      </c>
      <c r="P209" s="7">
        <f>N209/[1]payroll!$F209</f>
        <v>3.4768011788739728E-4</v>
      </c>
      <c r="R209" s="2">
        <f>IF(P209&lt;$R$2,N209,[1]payroll!$F209*$R$2)</f>
        <v>606.21605081093742</v>
      </c>
      <c r="T209" s="10">
        <f t="shared" si="22"/>
        <v>0</v>
      </c>
      <c r="V209" s="1">
        <f t="shared" si="23"/>
        <v>1</v>
      </c>
    </row>
    <row r="210" spans="1:22" outlineLevel="1">
      <c r="A210" s="1" t="s">
        <v>332</v>
      </c>
      <c r="B210" s="1" t="s">
        <v>561</v>
      </c>
      <c r="C210" s="5">
        <v>0</v>
      </c>
      <c r="D210" s="5">
        <v>0</v>
      </c>
      <c r="E210" s="5">
        <v>0</v>
      </c>
      <c r="F210" s="2"/>
      <c r="G210" s="2">
        <f t="shared" si="24"/>
        <v>0</v>
      </c>
      <c r="H210" s="8">
        <v>1</v>
      </c>
      <c r="J210" s="2">
        <f t="shared" si="25"/>
        <v>0</v>
      </c>
      <c r="L210" s="9">
        <f t="shared" si="21"/>
        <v>0</v>
      </c>
      <c r="N210" s="2">
        <f>L210*([1]assessment!$J$272*[1]assessment!$F$3)</f>
        <v>0</v>
      </c>
      <c r="P210" s="7">
        <f>N210/[1]payroll!$F210</f>
        <v>0</v>
      </c>
      <c r="R210" s="2">
        <f>IF(P210&lt;$R$2,N210,[1]payroll!$F210*$R$2)</f>
        <v>0</v>
      </c>
      <c r="T210" s="10">
        <f t="shared" si="22"/>
        <v>0</v>
      </c>
      <c r="V210" s="1" t="e">
        <f t="shared" si="23"/>
        <v>#DIV/0!</v>
      </c>
    </row>
    <row r="211" spans="1:22" outlineLevel="1">
      <c r="A211" s="1" t="s">
        <v>334</v>
      </c>
      <c r="B211" s="1" t="s">
        <v>335</v>
      </c>
      <c r="C211" s="5">
        <v>0</v>
      </c>
      <c r="D211" s="5">
        <v>0</v>
      </c>
      <c r="E211" s="5">
        <v>0</v>
      </c>
      <c r="F211" s="2"/>
      <c r="G211" s="2">
        <f t="shared" si="24"/>
        <v>0</v>
      </c>
      <c r="H211" s="8">
        <v>1</v>
      </c>
      <c r="J211" s="2">
        <f t="shared" si="25"/>
        <v>0</v>
      </c>
      <c r="L211" s="9">
        <f t="shared" si="21"/>
        <v>0</v>
      </c>
      <c r="N211" s="2">
        <f>L211*([1]assessment!$J$272*[1]assessment!$F$3)</f>
        <v>0</v>
      </c>
      <c r="P211" s="7">
        <f>N211/[1]payroll!$F211</f>
        <v>0</v>
      </c>
      <c r="R211" s="2">
        <f>IF(P211&lt;$R$2,N211,[1]payroll!$F211*$R$2)</f>
        <v>0</v>
      </c>
      <c r="T211" s="10">
        <f t="shared" si="22"/>
        <v>0</v>
      </c>
      <c r="V211" s="1" t="e">
        <f t="shared" si="23"/>
        <v>#DIV/0!</v>
      </c>
    </row>
    <row r="212" spans="1:22" outlineLevel="1">
      <c r="A212" s="1" t="s">
        <v>336</v>
      </c>
      <c r="B212" s="1" t="s">
        <v>337</v>
      </c>
      <c r="C212" s="5">
        <v>2070.6999999999998</v>
      </c>
      <c r="D212" s="5">
        <v>1751.72</v>
      </c>
      <c r="E212" s="5">
        <v>2851.11</v>
      </c>
      <c r="F212" s="2"/>
      <c r="G212" s="2">
        <f t="shared" si="24"/>
        <v>2224.5100000000002</v>
      </c>
      <c r="H212" s="8">
        <v>1</v>
      </c>
      <c r="J212" s="2">
        <f t="shared" si="25"/>
        <v>2224.5100000000002</v>
      </c>
      <c r="L212" s="9">
        <f t="shared" si="21"/>
        <v>6.1435335734196531E-5</v>
      </c>
      <c r="N212" s="2">
        <f>L212*([1]assessment!$J$272*[1]assessment!$F$3)</f>
        <v>2212.6817884609336</v>
      </c>
      <c r="P212" s="7">
        <f>N212/[1]payroll!$F212</f>
        <v>4.1848588660446819E-4</v>
      </c>
      <c r="R212" s="2">
        <f>IF(P212&lt;$R$2,N212,[1]payroll!$F212*$R$2)</f>
        <v>2212.6817884609336</v>
      </c>
      <c r="T212" s="10">
        <f t="shared" si="22"/>
        <v>0</v>
      </c>
      <c r="V212" s="1">
        <f t="shared" si="23"/>
        <v>1</v>
      </c>
    </row>
    <row r="213" spans="1:22" outlineLevel="1">
      <c r="A213" s="1" t="s">
        <v>589</v>
      </c>
      <c r="B213" s="1" t="s">
        <v>339</v>
      </c>
      <c r="C213" s="5">
        <v>0</v>
      </c>
      <c r="D213" s="5">
        <v>0</v>
      </c>
      <c r="E213" s="5">
        <v>0</v>
      </c>
      <c r="F213" s="2"/>
      <c r="G213" s="2">
        <f t="shared" si="24"/>
        <v>0</v>
      </c>
      <c r="H213" s="8">
        <v>1</v>
      </c>
      <c r="J213" s="2">
        <f t="shared" si="25"/>
        <v>0</v>
      </c>
      <c r="L213" s="9">
        <f t="shared" si="21"/>
        <v>0</v>
      </c>
      <c r="N213" s="2">
        <f>L213*([1]assessment!$J$272*[1]assessment!$F$3)</f>
        <v>0</v>
      </c>
      <c r="P213" s="7">
        <f>N213/[1]payroll!$F213</f>
        <v>0</v>
      </c>
      <c r="R213" s="2">
        <f>IF(P213&lt;$R$2,N213,[1]payroll!$F213*$R$2)</f>
        <v>0</v>
      </c>
      <c r="T213" s="10">
        <f t="shared" si="22"/>
        <v>0</v>
      </c>
      <c r="V213" s="1" t="e">
        <f t="shared" si="23"/>
        <v>#DIV/0!</v>
      </c>
    </row>
    <row r="214" spans="1:22" outlineLevel="1">
      <c r="A214" s="1" t="s">
        <v>475</v>
      </c>
      <c r="B214" s="1" t="s">
        <v>342</v>
      </c>
      <c r="C214" s="5">
        <v>0</v>
      </c>
      <c r="D214" s="5">
        <v>0</v>
      </c>
      <c r="E214" s="5">
        <v>0</v>
      </c>
      <c r="F214" s="2"/>
      <c r="G214" s="2">
        <f t="shared" si="24"/>
        <v>0</v>
      </c>
      <c r="H214" s="8">
        <v>1</v>
      </c>
      <c r="J214" s="2">
        <f t="shared" si="25"/>
        <v>0</v>
      </c>
      <c r="L214" s="9">
        <f t="shared" si="21"/>
        <v>0</v>
      </c>
      <c r="N214" s="2">
        <f>L214*([1]assessment!$J$272*[1]assessment!$F$3)</f>
        <v>0</v>
      </c>
      <c r="P214" s="7">
        <f>N214/[1]payroll!$F214</f>
        <v>0</v>
      </c>
      <c r="R214" s="2">
        <f>IF(P214&lt;$R$2,N214,[1]payroll!$F214*$R$2)</f>
        <v>0</v>
      </c>
      <c r="T214" s="10">
        <f t="shared" si="22"/>
        <v>0</v>
      </c>
      <c r="V214" s="1" t="e">
        <f t="shared" si="23"/>
        <v>#DIV/0!</v>
      </c>
    </row>
    <row r="215" spans="1:22" outlineLevel="1">
      <c r="A215" s="1" t="s">
        <v>476</v>
      </c>
      <c r="B215" s="1" t="s">
        <v>338</v>
      </c>
      <c r="C215" s="5">
        <v>0</v>
      </c>
      <c r="D215" s="5">
        <v>0</v>
      </c>
      <c r="E215" s="5">
        <v>0</v>
      </c>
      <c r="F215" s="2"/>
      <c r="G215" s="2">
        <f t="shared" si="24"/>
        <v>0</v>
      </c>
      <c r="H215" s="8">
        <v>1</v>
      </c>
      <c r="J215" s="2">
        <f t="shared" si="25"/>
        <v>0</v>
      </c>
      <c r="L215" s="9">
        <f t="shared" si="21"/>
        <v>0</v>
      </c>
      <c r="N215" s="2">
        <f>L215*([1]assessment!$J$272*[1]assessment!$F$3)</f>
        <v>0</v>
      </c>
      <c r="P215" s="7">
        <f>N215/[1]payroll!$F215</f>
        <v>0</v>
      </c>
      <c r="R215" s="2">
        <f>IF(P215&lt;$R$2,N215,[1]payroll!$F215*$R$2)</f>
        <v>0</v>
      </c>
      <c r="T215" s="10">
        <f t="shared" si="22"/>
        <v>0</v>
      </c>
      <c r="V215" s="1" t="e">
        <f t="shared" si="23"/>
        <v>#DIV/0!</v>
      </c>
    </row>
    <row r="216" spans="1:22" outlineLevel="1">
      <c r="A216" s="1" t="s">
        <v>340</v>
      </c>
      <c r="B216" s="1" t="s">
        <v>341</v>
      </c>
      <c r="C216" s="5">
        <v>0</v>
      </c>
      <c r="D216" s="5">
        <v>0</v>
      </c>
      <c r="E216" s="5">
        <v>0</v>
      </c>
      <c r="F216" s="2"/>
      <c r="G216" s="2">
        <f t="shared" si="24"/>
        <v>0</v>
      </c>
      <c r="H216" s="8">
        <v>1</v>
      </c>
      <c r="J216" s="2">
        <f t="shared" si="25"/>
        <v>0</v>
      </c>
      <c r="L216" s="9">
        <f t="shared" si="21"/>
        <v>0</v>
      </c>
      <c r="N216" s="2">
        <f>L216*([1]assessment!$J$272*[1]assessment!$F$3)</f>
        <v>0</v>
      </c>
      <c r="P216" s="7">
        <f>N216/[1]payroll!$F216</f>
        <v>0</v>
      </c>
      <c r="R216" s="2">
        <f>IF(P216&lt;$R$2,N216,[1]payroll!$F216*$R$2)</f>
        <v>0</v>
      </c>
      <c r="T216" s="10">
        <f t="shared" si="22"/>
        <v>0</v>
      </c>
      <c r="V216" s="1" t="e">
        <f t="shared" si="23"/>
        <v>#DIV/0!</v>
      </c>
    </row>
    <row r="217" spans="1:22" outlineLevel="1">
      <c r="A217" s="1" t="s">
        <v>343</v>
      </c>
      <c r="B217" s="1" t="s">
        <v>344</v>
      </c>
      <c r="C217" s="5">
        <v>1927.25</v>
      </c>
      <c r="D217" s="5">
        <v>43668.39</v>
      </c>
      <c r="E217" s="5">
        <v>25292.89</v>
      </c>
      <c r="F217" s="2"/>
      <c r="G217" s="2">
        <f t="shared" si="24"/>
        <v>23629.51</v>
      </c>
      <c r="H217" s="8">
        <v>1</v>
      </c>
      <c r="J217" s="2">
        <f t="shared" si="25"/>
        <v>23629.51</v>
      </c>
      <c r="L217" s="9">
        <f t="shared" si="21"/>
        <v>6.5258725745649779E-4</v>
      </c>
      <c r="N217" s="2">
        <f>L217*([1]assessment!$J$272*[1]assessment!$F$3)</f>
        <v>23503.866670527666</v>
      </c>
      <c r="P217" s="7">
        <f>N217/[1]payroll!$F217</f>
        <v>8.5812333670065976E-3</v>
      </c>
      <c r="R217" s="2">
        <f>IF(P217&lt;$R$2,N217,[1]payroll!$F217*$R$2)</f>
        <v>23503.866670527666</v>
      </c>
      <c r="T217" s="10">
        <f t="shared" si="22"/>
        <v>0</v>
      </c>
      <c r="V217" s="1">
        <f t="shared" si="23"/>
        <v>1</v>
      </c>
    </row>
    <row r="218" spans="1:22" outlineLevel="1">
      <c r="A218" s="1" t="s">
        <v>345</v>
      </c>
      <c r="B218" s="1" t="s">
        <v>346</v>
      </c>
      <c r="C218" s="5">
        <v>0</v>
      </c>
      <c r="D218" s="5">
        <v>0</v>
      </c>
      <c r="E218" s="5">
        <v>0</v>
      </c>
      <c r="F218" s="2"/>
      <c r="G218" s="2">
        <f t="shared" si="24"/>
        <v>0</v>
      </c>
      <c r="H218" s="8">
        <v>1</v>
      </c>
      <c r="J218" s="2">
        <f t="shared" si="25"/>
        <v>0</v>
      </c>
      <c r="L218" s="9">
        <f t="shared" si="21"/>
        <v>0</v>
      </c>
      <c r="N218" s="2">
        <f>L218*([1]assessment!$J$272*[1]assessment!$F$3)</f>
        <v>0</v>
      </c>
      <c r="P218" s="7">
        <f>N218/[1]payroll!$F218</f>
        <v>0</v>
      </c>
      <c r="R218" s="2">
        <f>IF(P218&lt;$R$2,N218,[1]payroll!$F218*$R$2)</f>
        <v>0</v>
      </c>
      <c r="T218" s="10">
        <f t="shared" si="22"/>
        <v>0</v>
      </c>
      <c r="V218" s="1" t="e">
        <f t="shared" si="23"/>
        <v>#DIV/0!</v>
      </c>
    </row>
    <row r="219" spans="1:22" outlineLevel="1">
      <c r="A219" s="1" t="s">
        <v>347</v>
      </c>
      <c r="B219" s="1" t="s">
        <v>348</v>
      </c>
      <c r="C219" s="5">
        <v>0</v>
      </c>
      <c r="D219" s="5">
        <v>0</v>
      </c>
      <c r="E219" s="5">
        <v>0</v>
      </c>
      <c r="F219" s="2"/>
      <c r="G219" s="2">
        <f t="shared" si="24"/>
        <v>0</v>
      </c>
      <c r="H219" s="8">
        <v>1</v>
      </c>
      <c r="J219" s="2">
        <f t="shared" si="25"/>
        <v>0</v>
      </c>
      <c r="L219" s="9">
        <f t="shared" si="21"/>
        <v>0</v>
      </c>
      <c r="N219" s="2">
        <f>L219*([1]assessment!$J$272*[1]assessment!$F$3)</f>
        <v>0</v>
      </c>
      <c r="P219" s="7">
        <f>N219/[1]payroll!$F219</f>
        <v>0</v>
      </c>
      <c r="R219" s="2">
        <f>IF(P219&lt;$R$2,N219,[1]payroll!$F219*$R$2)</f>
        <v>0</v>
      </c>
      <c r="T219" s="10">
        <f t="shared" si="22"/>
        <v>0</v>
      </c>
      <c r="V219" s="1" t="e">
        <f t="shared" si="23"/>
        <v>#DIV/0!</v>
      </c>
    </row>
    <row r="220" spans="1:22" outlineLevel="1">
      <c r="A220" s="1" t="s">
        <v>349</v>
      </c>
      <c r="B220" s="1" t="s">
        <v>350</v>
      </c>
      <c r="C220" s="5">
        <v>0</v>
      </c>
      <c r="D220" s="5">
        <v>0</v>
      </c>
      <c r="E220" s="5">
        <v>211.97</v>
      </c>
      <c r="F220" s="2"/>
      <c r="G220" s="2">
        <f t="shared" si="24"/>
        <v>70.656666666666666</v>
      </c>
      <c r="H220" s="8">
        <v>1</v>
      </c>
      <c r="J220" s="2">
        <f t="shared" si="25"/>
        <v>70.656666666666666</v>
      </c>
      <c r="L220" s="9">
        <f t="shared" si="21"/>
        <v>1.9513582939730002E-6</v>
      </c>
      <c r="N220" s="2">
        <f>L220*([1]assessment!$J$272*[1]assessment!$F$3)</f>
        <v>70.280969546861101</v>
      </c>
      <c r="P220" s="7">
        <f>N220/[1]payroll!$F220</f>
        <v>2.3702139013451603E-5</v>
      </c>
      <c r="R220" s="2">
        <f>IF(P220&lt;$R$2,N220,[1]payroll!$F220*$R$2)</f>
        <v>70.280969546861101</v>
      </c>
      <c r="T220" s="10">
        <f t="shared" si="22"/>
        <v>0</v>
      </c>
      <c r="V220" s="1">
        <f t="shared" si="23"/>
        <v>1</v>
      </c>
    </row>
    <row r="221" spans="1:22" outlineLevel="1">
      <c r="A221" s="1" t="s">
        <v>351</v>
      </c>
      <c r="B221" s="1" t="s">
        <v>352</v>
      </c>
      <c r="C221" s="5">
        <v>0</v>
      </c>
      <c r="D221" s="5">
        <v>0</v>
      </c>
      <c r="E221" s="5">
        <v>0</v>
      </c>
      <c r="F221" s="2"/>
      <c r="G221" s="2">
        <f t="shared" si="24"/>
        <v>0</v>
      </c>
      <c r="H221" s="8">
        <v>1</v>
      </c>
      <c r="J221" s="2">
        <f t="shared" si="25"/>
        <v>0</v>
      </c>
      <c r="L221" s="9">
        <f t="shared" si="21"/>
        <v>0</v>
      </c>
      <c r="N221" s="2">
        <f>L221*([1]assessment!$J$272*[1]assessment!$F$3)</f>
        <v>0</v>
      </c>
      <c r="P221" s="7">
        <f>N221/[1]payroll!$F221</f>
        <v>0</v>
      </c>
      <c r="R221" s="2">
        <f>IF(P221&lt;$R$2,N221,[1]payroll!$F221*$R$2)</f>
        <v>0</v>
      </c>
      <c r="T221" s="10">
        <f t="shared" si="22"/>
        <v>0</v>
      </c>
      <c r="V221" s="1" t="e">
        <f t="shared" si="23"/>
        <v>#DIV/0!</v>
      </c>
    </row>
    <row r="222" spans="1:22" outlineLevel="1">
      <c r="A222" s="1" t="s">
        <v>353</v>
      </c>
      <c r="B222" s="1" t="s">
        <v>354</v>
      </c>
      <c r="C222" s="5">
        <v>0</v>
      </c>
      <c r="D222" s="5">
        <v>0</v>
      </c>
      <c r="E222" s="5">
        <v>0</v>
      </c>
      <c r="F222" s="2"/>
      <c r="G222" s="2">
        <f t="shared" si="24"/>
        <v>0</v>
      </c>
      <c r="H222" s="8">
        <v>1</v>
      </c>
      <c r="J222" s="2">
        <f t="shared" si="25"/>
        <v>0</v>
      </c>
      <c r="L222" s="9">
        <f t="shared" si="21"/>
        <v>0</v>
      </c>
      <c r="N222" s="2">
        <f>L222*([1]assessment!$J$272*[1]assessment!$F$3)</f>
        <v>0</v>
      </c>
      <c r="P222" s="7">
        <f>N222/[1]payroll!$F222</f>
        <v>0</v>
      </c>
      <c r="R222" s="2">
        <f>IF(P222&lt;$R$2,N222,[1]payroll!$F222*$R$2)</f>
        <v>0</v>
      </c>
      <c r="T222" s="10">
        <f t="shared" si="22"/>
        <v>0</v>
      </c>
      <c r="V222" s="1" t="e">
        <f t="shared" si="23"/>
        <v>#DIV/0!</v>
      </c>
    </row>
    <row r="223" spans="1:22" outlineLevel="1">
      <c r="A223" s="1" t="s">
        <v>355</v>
      </c>
      <c r="B223" s="1" t="s">
        <v>356</v>
      </c>
      <c r="C223" s="5">
        <v>0</v>
      </c>
      <c r="D223" s="5">
        <v>19705.87</v>
      </c>
      <c r="E223" s="5">
        <v>30252.68</v>
      </c>
      <c r="F223" s="2"/>
      <c r="G223" s="2">
        <f t="shared" si="24"/>
        <v>16652.850000000002</v>
      </c>
      <c r="H223" s="8">
        <v>1</v>
      </c>
      <c r="J223" s="2">
        <f t="shared" si="25"/>
        <v>16652.850000000002</v>
      </c>
      <c r="L223" s="9">
        <f t="shared" si="21"/>
        <v>4.5990956690741542E-4</v>
      </c>
      <c r="N223" s="2">
        <f>L223*([1]assessment!$J$272*[1]assessment!$F$3)</f>
        <v>16564.303114380989</v>
      </c>
      <c r="P223" s="7">
        <f>N223/[1]payroll!$F223</f>
        <v>1.86850756778222E-2</v>
      </c>
      <c r="R223" s="2">
        <f>IF(P223&lt;$R$2,N223,[1]payroll!$F223*$R$2)</f>
        <v>16564.303114380989</v>
      </c>
      <c r="T223" s="10">
        <f t="shared" si="22"/>
        <v>0</v>
      </c>
      <c r="V223" s="1">
        <f t="shared" si="23"/>
        <v>1</v>
      </c>
    </row>
    <row r="224" spans="1:22" outlineLevel="1">
      <c r="A224" s="1" t="s">
        <v>357</v>
      </c>
      <c r="B224" s="1" t="s">
        <v>358</v>
      </c>
      <c r="C224" s="5">
        <v>0</v>
      </c>
      <c r="D224" s="5">
        <v>0</v>
      </c>
      <c r="E224" s="5">
        <v>0</v>
      </c>
      <c r="F224" s="2"/>
      <c r="G224" s="2">
        <f t="shared" si="24"/>
        <v>0</v>
      </c>
      <c r="H224" s="8">
        <v>1</v>
      </c>
      <c r="J224" s="2">
        <f t="shared" si="25"/>
        <v>0</v>
      </c>
      <c r="L224" s="9">
        <f t="shared" si="21"/>
        <v>0</v>
      </c>
      <c r="N224" s="2">
        <f>L224*([1]assessment!$J$272*[1]assessment!$F$3)</f>
        <v>0</v>
      </c>
      <c r="P224" s="7">
        <f>N224/[1]payroll!$F224</f>
        <v>0</v>
      </c>
      <c r="R224" s="2">
        <f>IF(P224&lt;$R$2,N224,[1]payroll!$F224*$R$2)</f>
        <v>0</v>
      </c>
      <c r="T224" s="10">
        <f t="shared" si="22"/>
        <v>0</v>
      </c>
      <c r="V224" s="1" t="e">
        <f t="shared" si="23"/>
        <v>#DIV/0!</v>
      </c>
    </row>
    <row r="225" spans="1:22" outlineLevel="1">
      <c r="A225" s="1" t="s">
        <v>359</v>
      </c>
      <c r="B225" s="1" t="s">
        <v>360</v>
      </c>
      <c r="C225" s="5">
        <v>0</v>
      </c>
      <c r="D225" s="5">
        <v>0</v>
      </c>
      <c r="E225" s="5">
        <v>0</v>
      </c>
      <c r="F225" s="2"/>
      <c r="G225" s="2">
        <f t="shared" si="24"/>
        <v>0</v>
      </c>
      <c r="H225" s="8">
        <v>1</v>
      </c>
      <c r="J225" s="2">
        <f t="shared" si="25"/>
        <v>0</v>
      </c>
      <c r="L225" s="9">
        <f t="shared" si="21"/>
        <v>0</v>
      </c>
      <c r="N225" s="2">
        <f>L225*([1]assessment!$J$272*[1]assessment!$F$3)</f>
        <v>0</v>
      </c>
      <c r="P225" s="7">
        <f>N225/[1]payroll!$F225</f>
        <v>0</v>
      </c>
      <c r="R225" s="2">
        <f>IF(P225&lt;$R$2,N225,[1]payroll!$F225*$R$2)</f>
        <v>0</v>
      </c>
      <c r="T225" s="10">
        <f t="shared" si="22"/>
        <v>0</v>
      </c>
      <c r="V225" s="1" t="e">
        <f t="shared" si="23"/>
        <v>#DIV/0!</v>
      </c>
    </row>
    <row r="226" spans="1:22" outlineLevel="1">
      <c r="A226" s="1" t="s">
        <v>361</v>
      </c>
      <c r="B226" s="1" t="s">
        <v>362</v>
      </c>
      <c r="C226" s="5">
        <v>1302.1400000000001</v>
      </c>
      <c r="D226" s="5">
        <v>10865.49</v>
      </c>
      <c r="E226" s="5">
        <v>15648.98</v>
      </c>
      <c r="F226" s="2"/>
      <c r="G226" s="2">
        <f t="shared" si="24"/>
        <v>9272.2033333333329</v>
      </c>
      <c r="H226" s="8">
        <v>1</v>
      </c>
      <c r="J226" s="2">
        <f t="shared" si="25"/>
        <v>9272.2033333333329</v>
      </c>
      <c r="L226" s="9">
        <f t="shared" si="21"/>
        <v>2.5607478715720288E-4</v>
      </c>
      <c r="N226" s="2">
        <f>L226*([1]assessment!$J$272*[1]assessment!$F$3)</f>
        <v>9222.9009780011893</v>
      </c>
      <c r="P226" s="7">
        <f>N226/[1]payroll!$F226</f>
        <v>1.5157778888708982E-3</v>
      </c>
      <c r="R226" s="2">
        <f>IF(P226&lt;$R$2,N226,[1]payroll!$F226*$R$2)</f>
        <v>9222.9009780011893</v>
      </c>
      <c r="T226" s="10">
        <f t="shared" si="22"/>
        <v>0</v>
      </c>
      <c r="V226" s="1">
        <f t="shared" si="23"/>
        <v>1</v>
      </c>
    </row>
    <row r="227" spans="1:22" outlineLevel="1">
      <c r="A227" s="1" t="s">
        <v>363</v>
      </c>
      <c r="B227" s="1" t="s">
        <v>364</v>
      </c>
      <c r="C227" s="5">
        <v>55.07</v>
      </c>
      <c r="D227" s="5">
        <v>90.52</v>
      </c>
      <c r="E227" s="5">
        <v>0</v>
      </c>
      <c r="F227" s="2"/>
      <c r="G227" s="2">
        <f t="shared" si="24"/>
        <v>48.53</v>
      </c>
      <c r="H227" s="8">
        <v>1</v>
      </c>
      <c r="J227" s="2">
        <f t="shared" si="25"/>
        <v>48.53</v>
      </c>
      <c r="L227" s="9">
        <f t="shared" si="21"/>
        <v>1.3402757655306369E-6</v>
      </c>
      <c r="N227" s="2">
        <f>L227*([1]assessment!$J$272*[1]assessment!$F$3)</f>
        <v>48.271955259364574</v>
      </c>
      <c r="P227" s="7">
        <f>N227/[1]payroll!$F227</f>
        <v>5.2849711378159784E-5</v>
      </c>
      <c r="R227" s="2">
        <f>IF(P227&lt;$R$2,N227,[1]payroll!$F227*$R$2)</f>
        <v>48.271955259364574</v>
      </c>
      <c r="T227" s="10">
        <f t="shared" si="22"/>
        <v>0</v>
      </c>
      <c r="V227" s="1">
        <f t="shared" si="23"/>
        <v>1</v>
      </c>
    </row>
    <row r="228" spans="1:22" outlineLevel="1">
      <c r="A228" s="1" t="s">
        <v>365</v>
      </c>
      <c r="B228" s="1" t="s">
        <v>366</v>
      </c>
      <c r="C228" s="5">
        <v>58110.2</v>
      </c>
      <c r="D228" s="5">
        <v>35136.400000000001</v>
      </c>
      <c r="E228" s="5">
        <v>35136.400000000001</v>
      </c>
      <c r="F228" s="2"/>
      <c r="G228" s="2">
        <f t="shared" si="24"/>
        <v>42794.333333333336</v>
      </c>
      <c r="H228" s="8">
        <v>1</v>
      </c>
      <c r="J228" s="2">
        <f t="shared" si="25"/>
        <v>42794.333333333336</v>
      </c>
      <c r="L228" s="9">
        <f t="shared" si="21"/>
        <v>1.1818711697652296E-3</v>
      </c>
      <c r="N228" s="2">
        <f>L228*([1]assessment!$J$272*[1]assessment!$F$3)</f>
        <v>42566.786400597586</v>
      </c>
      <c r="P228" s="7">
        <f>N228/[1]payroll!$F228</f>
        <v>0.11707276143040082</v>
      </c>
      <c r="R228" s="2">
        <f>IF(P228&lt;$R$2,N228,[1]payroll!$F228*$R$2)</f>
        <v>14543.702866666668</v>
      </c>
      <c r="T228" s="10">
        <f t="shared" si="22"/>
        <v>28023.08353393092</v>
      </c>
      <c r="V228" s="1">
        <f t="shared" si="23"/>
        <v>0.34166786117691261</v>
      </c>
    </row>
    <row r="229" spans="1:22" outlineLevel="1">
      <c r="A229" s="1" t="s">
        <v>367</v>
      </c>
      <c r="B229" s="1" t="s">
        <v>368</v>
      </c>
      <c r="C229" s="5">
        <v>0</v>
      </c>
      <c r="D229" s="5">
        <v>0</v>
      </c>
      <c r="E229" s="5">
        <v>0</v>
      </c>
      <c r="F229" s="2"/>
      <c r="G229" s="2">
        <f t="shared" si="24"/>
        <v>0</v>
      </c>
      <c r="H229" s="8">
        <v>1</v>
      </c>
      <c r="J229" s="2">
        <f t="shared" si="25"/>
        <v>0</v>
      </c>
      <c r="L229" s="9">
        <f t="shared" si="21"/>
        <v>0</v>
      </c>
      <c r="N229" s="2">
        <f>L229*([1]assessment!$J$272*[1]assessment!$F$3)</f>
        <v>0</v>
      </c>
      <c r="P229" s="7">
        <f>N229/[1]payroll!$F229</f>
        <v>0</v>
      </c>
      <c r="R229" s="2">
        <f>IF(P229&lt;$R$2,N229,[1]payroll!$F229*$R$2)</f>
        <v>0</v>
      </c>
      <c r="T229" s="10">
        <f t="shared" si="22"/>
        <v>0</v>
      </c>
      <c r="V229" s="1" t="e">
        <f t="shared" si="23"/>
        <v>#DIV/0!</v>
      </c>
    </row>
    <row r="230" spans="1:22" outlineLevel="1">
      <c r="A230" s="1" t="s">
        <v>369</v>
      </c>
      <c r="B230" s="1" t="s">
        <v>370</v>
      </c>
      <c r="C230" s="5">
        <v>0</v>
      </c>
      <c r="D230" s="5">
        <v>0</v>
      </c>
      <c r="E230" s="5">
        <v>0</v>
      </c>
      <c r="F230" s="2"/>
      <c r="G230" s="2">
        <f t="shared" si="24"/>
        <v>0</v>
      </c>
      <c r="H230" s="8">
        <v>1</v>
      </c>
      <c r="J230" s="2">
        <f t="shared" si="25"/>
        <v>0</v>
      </c>
      <c r="L230" s="9">
        <f t="shared" si="21"/>
        <v>0</v>
      </c>
      <c r="N230" s="2">
        <f>L230*([1]assessment!$J$272*[1]assessment!$F$3)</f>
        <v>0</v>
      </c>
      <c r="P230" s="7">
        <f>N230/[1]payroll!$F230</f>
        <v>0</v>
      </c>
      <c r="R230" s="2">
        <f>IF(P230&lt;$R$2,N230,[1]payroll!$F230*$R$2)</f>
        <v>0</v>
      </c>
      <c r="T230" s="10">
        <f t="shared" si="22"/>
        <v>0</v>
      </c>
      <c r="V230" s="1" t="e">
        <f t="shared" si="23"/>
        <v>#DIV/0!</v>
      </c>
    </row>
    <row r="231" spans="1:22" outlineLevel="1">
      <c r="A231" s="1" t="s">
        <v>371</v>
      </c>
      <c r="B231" s="1" t="s">
        <v>372</v>
      </c>
      <c r="C231" s="5">
        <v>0</v>
      </c>
      <c r="D231" s="5">
        <v>0</v>
      </c>
      <c r="E231" s="5">
        <v>0</v>
      </c>
      <c r="F231" s="2"/>
      <c r="G231" s="2">
        <f t="shared" si="24"/>
        <v>0</v>
      </c>
      <c r="H231" s="8">
        <v>1</v>
      </c>
      <c r="J231" s="2">
        <f t="shared" si="25"/>
        <v>0</v>
      </c>
      <c r="L231" s="9">
        <f t="shared" si="21"/>
        <v>0</v>
      </c>
      <c r="N231" s="2">
        <f>L231*([1]assessment!$J$272*[1]assessment!$F$3)</f>
        <v>0</v>
      </c>
      <c r="P231" s="7">
        <f>N231/[1]payroll!$F231</f>
        <v>0</v>
      </c>
      <c r="R231" s="2">
        <f>IF(P231&lt;$R$2,N231,[1]payroll!$F231*$R$2)</f>
        <v>0</v>
      </c>
      <c r="T231" s="10">
        <f t="shared" si="22"/>
        <v>0</v>
      </c>
      <c r="V231" s="1" t="e">
        <f t="shared" si="23"/>
        <v>#DIV/0!</v>
      </c>
    </row>
    <row r="232" spans="1:22" outlineLevel="1">
      <c r="A232" s="1" t="s">
        <v>373</v>
      </c>
      <c r="B232" s="1" t="s">
        <v>374</v>
      </c>
      <c r="C232" s="5">
        <v>0</v>
      </c>
      <c r="D232" s="5">
        <v>4147.72</v>
      </c>
      <c r="E232" s="5">
        <v>5658.18</v>
      </c>
      <c r="F232" s="2"/>
      <c r="G232" s="2">
        <f t="shared" si="24"/>
        <v>3268.6333333333337</v>
      </c>
      <c r="H232" s="8">
        <v>1</v>
      </c>
      <c r="J232" s="2">
        <f t="shared" si="25"/>
        <v>3268.6333333333337</v>
      </c>
      <c r="L232" s="9">
        <f t="shared" si="21"/>
        <v>9.0271379416284595E-5</v>
      </c>
      <c r="N232" s="2">
        <f>L232*([1]assessment!$J$272*[1]assessment!$F$3)</f>
        <v>3251.2532871612275</v>
      </c>
      <c r="P232" s="7">
        <f>N232/[1]payroll!$F232</f>
        <v>3.2676973039654864E-3</v>
      </c>
      <c r="R232" s="2">
        <f>IF(P232&lt;$R$2,N232,[1]payroll!$F232*$R$2)</f>
        <v>3251.2532871612275</v>
      </c>
      <c r="T232" s="10">
        <f t="shared" si="22"/>
        <v>0</v>
      </c>
      <c r="V232" s="1">
        <f t="shared" si="23"/>
        <v>1</v>
      </c>
    </row>
    <row r="233" spans="1:22" outlineLevel="1">
      <c r="A233" s="1" t="s">
        <v>375</v>
      </c>
      <c r="B233" s="1" t="s">
        <v>376</v>
      </c>
      <c r="C233" s="5">
        <v>0</v>
      </c>
      <c r="D233" s="5">
        <v>2616.08</v>
      </c>
      <c r="E233" s="5">
        <v>1158.69</v>
      </c>
      <c r="F233" s="2"/>
      <c r="G233" s="2">
        <f t="shared" si="24"/>
        <v>1258.2566666666667</v>
      </c>
      <c r="H233" s="8">
        <v>1</v>
      </c>
      <c r="J233" s="2">
        <f t="shared" si="25"/>
        <v>1258.2566666666667</v>
      </c>
      <c r="L233" s="9">
        <f t="shared" si="21"/>
        <v>3.4749864355052426E-5</v>
      </c>
      <c r="N233" s="2">
        <f>L233*([1]assessment!$J$272*[1]assessment!$F$3)</f>
        <v>1251.5662377525352</v>
      </c>
      <c r="P233" s="7">
        <f>N233/[1]payroll!$F233</f>
        <v>4.0444819479714002E-4</v>
      </c>
      <c r="R233" s="2">
        <f>IF(P233&lt;$R$2,N233,[1]payroll!$F233*$R$2)</f>
        <v>1251.5662377525352</v>
      </c>
      <c r="T233" s="10">
        <f t="shared" si="22"/>
        <v>0</v>
      </c>
      <c r="V233" s="1">
        <f t="shared" si="23"/>
        <v>1</v>
      </c>
    </row>
    <row r="234" spans="1:22" outlineLevel="1">
      <c r="A234" s="11" t="s">
        <v>547</v>
      </c>
      <c r="B234" s="11" t="s">
        <v>548</v>
      </c>
      <c r="C234" s="5">
        <v>0</v>
      </c>
      <c r="D234" s="5">
        <v>0</v>
      </c>
      <c r="E234" s="5">
        <v>0</v>
      </c>
      <c r="F234" s="2"/>
      <c r="G234" s="2">
        <f t="shared" si="24"/>
        <v>0</v>
      </c>
      <c r="H234" s="8">
        <v>1</v>
      </c>
      <c r="J234" s="2">
        <f t="shared" si="25"/>
        <v>0</v>
      </c>
      <c r="L234" s="9">
        <f t="shared" si="21"/>
        <v>0</v>
      </c>
      <c r="N234" s="2">
        <f>L234*([1]assessment!$J$272*[1]assessment!$F$3)</f>
        <v>0</v>
      </c>
      <c r="P234" s="7">
        <f>N234/[1]payroll!$F234</f>
        <v>0</v>
      </c>
      <c r="R234" s="2">
        <f>IF(P234&lt;$R$2,N234,[1]payroll!$F234*$R$2)</f>
        <v>0</v>
      </c>
      <c r="T234" s="10">
        <f t="shared" si="22"/>
        <v>0</v>
      </c>
      <c r="V234" s="1" t="e">
        <f t="shared" si="23"/>
        <v>#DIV/0!</v>
      </c>
    </row>
    <row r="235" spans="1:22" outlineLevel="1">
      <c r="A235" s="1" t="s">
        <v>377</v>
      </c>
      <c r="B235" s="1" t="s">
        <v>378</v>
      </c>
      <c r="C235" s="5">
        <v>0</v>
      </c>
      <c r="D235" s="5">
        <v>0</v>
      </c>
      <c r="E235" s="5">
        <v>0</v>
      </c>
      <c r="F235" s="2"/>
      <c r="G235" s="2">
        <f t="shared" si="24"/>
        <v>0</v>
      </c>
      <c r="H235" s="8">
        <v>1</v>
      </c>
      <c r="J235" s="2">
        <f t="shared" si="25"/>
        <v>0</v>
      </c>
      <c r="L235" s="9">
        <f t="shared" si="21"/>
        <v>0</v>
      </c>
      <c r="N235" s="2">
        <f>L235*([1]assessment!$J$272*[1]assessment!$F$3)</f>
        <v>0</v>
      </c>
      <c r="P235" s="7">
        <f>N235/[1]payroll!$F235</f>
        <v>0</v>
      </c>
      <c r="R235" s="2">
        <f>IF(P235&lt;$R$2,N235,[1]payroll!$F235*$R$2)</f>
        <v>0</v>
      </c>
      <c r="T235" s="10">
        <f t="shared" si="22"/>
        <v>0</v>
      </c>
      <c r="V235" s="1" t="e">
        <f t="shared" si="23"/>
        <v>#DIV/0!</v>
      </c>
    </row>
    <row r="236" spans="1:22" outlineLevel="1">
      <c r="A236" s="1" t="s">
        <v>379</v>
      </c>
      <c r="B236" s="1" t="s">
        <v>380</v>
      </c>
      <c r="C236" s="5">
        <v>0</v>
      </c>
      <c r="D236" s="5">
        <v>0</v>
      </c>
      <c r="E236" s="5">
        <v>0</v>
      </c>
      <c r="F236" s="2"/>
      <c r="G236" s="2">
        <f t="shared" ref="G236:G261" si="26">IF(SUM(C236:E236)&gt;0,AVERAGE(C236:E236),0)</f>
        <v>0</v>
      </c>
      <c r="H236" s="8">
        <v>1</v>
      </c>
      <c r="J236" s="2">
        <f t="shared" ref="J236:J261" si="27">+G236*H236</f>
        <v>0</v>
      </c>
      <c r="L236" s="9">
        <f t="shared" si="21"/>
        <v>0</v>
      </c>
      <c r="N236" s="2">
        <f>L236*([1]assessment!$J$272*[1]assessment!$F$3)</f>
        <v>0</v>
      </c>
      <c r="P236" s="7">
        <f>N236/[1]payroll!$F236</f>
        <v>0</v>
      </c>
      <c r="R236" s="2">
        <f>IF(P236&lt;$R$2,N236,[1]payroll!$F236*$R$2)</f>
        <v>0</v>
      </c>
      <c r="T236" s="10">
        <f t="shared" si="22"/>
        <v>0</v>
      </c>
      <c r="V236" s="1" t="e">
        <f t="shared" si="23"/>
        <v>#DIV/0!</v>
      </c>
    </row>
    <row r="237" spans="1:22" outlineLevel="1">
      <c r="A237" s="1" t="s">
        <v>381</v>
      </c>
      <c r="B237" s="1" t="s">
        <v>382</v>
      </c>
      <c r="C237" s="5">
        <v>0</v>
      </c>
      <c r="D237" s="5">
        <v>0</v>
      </c>
      <c r="E237" s="5">
        <v>0</v>
      </c>
      <c r="F237" s="2"/>
      <c r="G237" s="2">
        <f t="shared" si="26"/>
        <v>0</v>
      </c>
      <c r="H237" s="8">
        <v>1</v>
      </c>
      <c r="J237" s="2">
        <f t="shared" si="27"/>
        <v>0</v>
      </c>
      <c r="L237" s="9">
        <f t="shared" si="21"/>
        <v>0</v>
      </c>
      <c r="N237" s="2">
        <f>L237*([1]assessment!$J$272*[1]assessment!$F$3)</f>
        <v>0</v>
      </c>
      <c r="P237" s="7">
        <f>N237/[1]payroll!$F237</f>
        <v>0</v>
      </c>
      <c r="R237" s="2">
        <f>IF(P237&lt;$R$2,N237,[1]payroll!$F237*$R$2)</f>
        <v>0</v>
      </c>
      <c r="T237" s="10">
        <f t="shared" si="22"/>
        <v>0</v>
      </c>
      <c r="V237" s="1" t="e">
        <f t="shared" si="23"/>
        <v>#DIV/0!</v>
      </c>
    </row>
    <row r="238" spans="1:22" outlineLevel="1">
      <c r="A238" s="1" t="s">
        <v>383</v>
      </c>
      <c r="B238" s="1" t="s">
        <v>384</v>
      </c>
      <c r="C238" s="5">
        <v>1776.79</v>
      </c>
      <c r="D238" s="5">
        <v>5452.14</v>
      </c>
      <c r="E238" s="5">
        <v>256.60000000000002</v>
      </c>
      <c r="F238" s="2"/>
      <c r="G238" s="2">
        <f t="shared" si="26"/>
        <v>2495.1766666666667</v>
      </c>
      <c r="H238" s="8">
        <v>1</v>
      </c>
      <c r="J238" s="2">
        <f t="shared" si="27"/>
        <v>2495.1766666666667</v>
      </c>
      <c r="L238" s="9">
        <f t="shared" si="21"/>
        <v>6.8910463982090449E-5</v>
      </c>
      <c r="N238" s="2">
        <f>L238*([1]assessment!$J$272*[1]assessment!$F$3)</f>
        <v>2481.9092606128943</v>
      </c>
      <c r="P238" s="7">
        <f>N238/[1]payroll!$F238</f>
        <v>7.7519644030051319E-4</v>
      </c>
      <c r="R238" s="2">
        <f>IF(P238&lt;$R$2,N238,[1]payroll!$F238*$R$2)</f>
        <v>2481.9092606128943</v>
      </c>
      <c r="T238" s="10">
        <f t="shared" si="22"/>
        <v>0</v>
      </c>
      <c r="V238" s="1">
        <f t="shared" si="23"/>
        <v>1</v>
      </c>
    </row>
    <row r="239" spans="1:22" outlineLevel="1">
      <c r="A239" s="1" t="s">
        <v>385</v>
      </c>
      <c r="B239" s="1" t="s">
        <v>386</v>
      </c>
      <c r="C239" s="5">
        <v>0</v>
      </c>
      <c r="D239" s="5">
        <v>0</v>
      </c>
      <c r="E239" s="5">
        <v>0</v>
      </c>
      <c r="F239" s="2"/>
      <c r="G239" s="2">
        <f t="shared" si="26"/>
        <v>0</v>
      </c>
      <c r="H239" s="8">
        <v>1</v>
      </c>
      <c r="J239" s="2">
        <f t="shared" si="27"/>
        <v>0</v>
      </c>
      <c r="L239" s="9">
        <f t="shared" si="21"/>
        <v>0</v>
      </c>
      <c r="N239" s="2">
        <f>L239*([1]assessment!$J$272*[1]assessment!$F$3)</f>
        <v>0</v>
      </c>
      <c r="P239" s="7">
        <f>N239/[1]payroll!$F239</f>
        <v>0</v>
      </c>
      <c r="R239" s="2">
        <f>IF(P239&lt;$R$2,N239,[1]payroll!$F239*$R$2)</f>
        <v>0</v>
      </c>
      <c r="T239" s="10">
        <f t="shared" si="22"/>
        <v>0</v>
      </c>
      <c r="V239" s="1" t="e">
        <f t="shared" si="23"/>
        <v>#DIV/0!</v>
      </c>
    </row>
    <row r="240" spans="1:22" outlineLevel="1">
      <c r="A240" s="1" t="s">
        <v>387</v>
      </c>
      <c r="B240" s="1" t="s">
        <v>388</v>
      </c>
      <c r="C240" s="5">
        <v>0</v>
      </c>
      <c r="D240" s="5">
        <v>0</v>
      </c>
      <c r="E240" s="5">
        <v>0</v>
      </c>
      <c r="F240" s="2"/>
      <c r="G240" s="2">
        <f t="shared" si="26"/>
        <v>0</v>
      </c>
      <c r="H240" s="8">
        <v>1</v>
      </c>
      <c r="J240" s="2">
        <f t="shared" si="27"/>
        <v>0</v>
      </c>
      <c r="L240" s="9">
        <f t="shared" si="21"/>
        <v>0</v>
      </c>
      <c r="N240" s="2">
        <f>L240*([1]assessment!$J$272*[1]assessment!$F$3)</f>
        <v>0</v>
      </c>
      <c r="P240" s="7">
        <f>N240/[1]payroll!$F240</f>
        <v>0</v>
      </c>
      <c r="R240" s="2">
        <f>IF(P240&lt;$R$2,N240,[1]payroll!$F240*$R$2)</f>
        <v>0</v>
      </c>
      <c r="T240" s="10">
        <f t="shared" si="22"/>
        <v>0</v>
      </c>
      <c r="V240" s="1" t="e">
        <f t="shared" si="23"/>
        <v>#DIV/0!</v>
      </c>
    </row>
    <row r="241" spans="1:22" outlineLevel="1">
      <c r="A241" s="1" t="s">
        <v>389</v>
      </c>
      <c r="B241" s="1" t="s">
        <v>390</v>
      </c>
      <c r="C241" s="5">
        <v>0</v>
      </c>
      <c r="D241" s="5">
        <v>2318.29</v>
      </c>
      <c r="E241" s="5">
        <v>0</v>
      </c>
      <c r="F241" s="2"/>
      <c r="G241" s="2">
        <f t="shared" si="26"/>
        <v>772.76333333333332</v>
      </c>
      <c r="H241" s="8">
        <v>1</v>
      </c>
      <c r="J241" s="2">
        <f t="shared" si="27"/>
        <v>772.76333333333332</v>
      </c>
      <c r="L241" s="9">
        <f t="shared" si="21"/>
        <v>2.134176732242613E-5</v>
      </c>
      <c r="N241" s="2">
        <f>L241*([1]assessment!$J$272*[1]assessment!$F$3)</f>
        <v>768.65437982163814</v>
      </c>
      <c r="P241" s="7">
        <f>N241/[1]payroll!$F241</f>
        <v>8.616354582427593E-4</v>
      </c>
      <c r="R241" s="2">
        <f>IF(P241&lt;$R$2,N241,[1]payroll!$F241*$R$2)</f>
        <v>768.65437982163814</v>
      </c>
      <c r="T241" s="10">
        <f t="shared" si="22"/>
        <v>0</v>
      </c>
      <c r="V241" s="1">
        <f t="shared" si="23"/>
        <v>1</v>
      </c>
    </row>
    <row r="242" spans="1:22" outlineLevel="1">
      <c r="A242" s="1" t="s">
        <v>391</v>
      </c>
      <c r="B242" s="1" t="s">
        <v>392</v>
      </c>
      <c r="C242" s="5">
        <v>9438.07</v>
      </c>
      <c r="D242" s="5">
        <v>4108.7299999999996</v>
      </c>
      <c r="E242" s="5">
        <v>1551.28</v>
      </c>
      <c r="F242" s="2"/>
      <c r="G242" s="2">
        <f t="shared" si="26"/>
        <v>5032.6933333333336</v>
      </c>
      <c r="H242" s="8">
        <v>1</v>
      </c>
      <c r="J242" s="2">
        <f t="shared" si="27"/>
        <v>5032.6933333333336</v>
      </c>
      <c r="L242" s="9">
        <f t="shared" si="21"/>
        <v>1.3899025159724431E-4</v>
      </c>
      <c r="N242" s="2">
        <f>L242*([1]assessment!$J$272*[1]assessment!$F$3)</f>
        <v>5005.9333900838456</v>
      </c>
      <c r="P242" s="7">
        <f>N242/[1]payroll!$F242</f>
        <v>2.6947498025185171E-4</v>
      </c>
      <c r="R242" s="2">
        <f>IF(P242&lt;$R$2,N242,[1]payroll!$F242*$R$2)</f>
        <v>5005.9333900838456</v>
      </c>
      <c r="T242" s="10">
        <f t="shared" si="22"/>
        <v>0</v>
      </c>
      <c r="V242" s="1">
        <f t="shared" si="23"/>
        <v>1</v>
      </c>
    </row>
    <row r="243" spans="1:22" outlineLevel="1">
      <c r="A243" s="1" t="s">
        <v>393</v>
      </c>
      <c r="B243" s="1" t="s">
        <v>394</v>
      </c>
      <c r="C243" s="5">
        <v>785.91</v>
      </c>
      <c r="D243" s="5">
        <v>0</v>
      </c>
      <c r="E243" s="5">
        <v>1494.44</v>
      </c>
      <c r="F243" s="2"/>
      <c r="G243" s="2">
        <f t="shared" si="26"/>
        <v>760.11666666666667</v>
      </c>
      <c r="H243" s="8">
        <v>1</v>
      </c>
      <c r="J243" s="2">
        <f t="shared" si="27"/>
        <v>760.11666666666667</v>
      </c>
      <c r="L243" s="9">
        <f t="shared" si="21"/>
        <v>2.099249839911936E-5</v>
      </c>
      <c r="N243" s="2">
        <f>L243*([1]assessment!$J$272*[1]assessment!$F$3)</f>
        <v>756.07495827798607</v>
      </c>
      <c r="P243" s="7">
        <f>N243/[1]payroll!$F243</f>
        <v>1.6895431831879482E-4</v>
      </c>
      <c r="R243" s="2">
        <f>IF(P243&lt;$R$2,N243,[1]payroll!$F243*$R$2)</f>
        <v>756.07495827798607</v>
      </c>
      <c r="T243" s="10">
        <f t="shared" si="22"/>
        <v>0</v>
      </c>
      <c r="V243" s="1">
        <f t="shared" si="23"/>
        <v>1</v>
      </c>
    </row>
    <row r="244" spans="1:22" outlineLevel="1">
      <c r="A244" s="1" t="s">
        <v>395</v>
      </c>
      <c r="B244" s="1" t="s">
        <v>396</v>
      </c>
      <c r="C244" s="5">
        <v>4847.29</v>
      </c>
      <c r="D244" s="5">
        <v>1806.5</v>
      </c>
      <c r="E244" s="5">
        <v>0</v>
      </c>
      <c r="F244" s="2"/>
      <c r="G244" s="2">
        <f t="shared" si="26"/>
        <v>2217.9299999999998</v>
      </c>
      <c r="H244" s="8">
        <v>1</v>
      </c>
      <c r="J244" s="2">
        <f t="shared" si="27"/>
        <v>2217.9299999999998</v>
      </c>
      <c r="L244" s="9">
        <f t="shared" si="21"/>
        <v>6.125361278885978E-5</v>
      </c>
      <c r="N244" s="2">
        <f>L244*([1]assessment!$J$272*[1]assessment!$F$3)</f>
        <v>2206.1367757758594</v>
      </c>
      <c r="P244" s="7">
        <f>N244/[1]payroll!$F244</f>
        <v>2.2890140507498737E-3</v>
      </c>
      <c r="R244" s="2">
        <f>IF(P244&lt;$R$2,N244,[1]payroll!$F244*$R$2)</f>
        <v>2206.1367757758594</v>
      </c>
      <c r="T244" s="10">
        <f t="shared" si="22"/>
        <v>0</v>
      </c>
      <c r="V244" s="1">
        <f t="shared" si="23"/>
        <v>1</v>
      </c>
    </row>
    <row r="245" spans="1:22" outlineLevel="1">
      <c r="A245" s="1" t="s">
        <v>397</v>
      </c>
      <c r="B245" s="1" t="s">
        <v>398</v>
      </c>
      <c r="C245" s="5">
        <v>8786.92</v>
      </c>
      <c r="D245" s="5">
        <v>16217.45</v>
      </c>
      <c r="E245" s="5">
        <v>8331.26</v>
      </c>
      <c r="F245" s="2"/>
      <c r="G245" s="2">
        <f t="shared" si="26"/>
        <v>11111.876666666669</v>
      </c>
      <c r="H245" s="8">
        <v>1</v>
      </c>
      <c r="J245" s="2">
        <f t="shared" si="27"/>
        <v>11111.876666666669</v>
      </c>
      <c r="L245" s="9">
        <f t="shared" si="21"/>
        <v>3.0688190821963096E-4</v>
      </c>
      <c r="N245" s="2">
        <f>L245*([1]assessment!$J$272*[1]assessment!$F$3)</f>
        <v>11052.792361444685</v>
      </c>
      <c r="P245" s="7">
        <f>N245/[1]payroll!$F245</f>
        <v>1.865719063681044E-3</v>
      </c>
      <c r="R245" s="2">
        <f>IF(P245&lt;$R$2,N245,[1]payroll!$F245*$R$2)</f>
        <v>11052.792361444685</v>
      </c>
      <c r="T245" s="10">
        <f t="shared" si="22"/>
        <v>0</v>
      </c>
      <c r="V245" s="1">
        <f t="shared" si="23"/>
        <v>1</v>
      </c>
    </row>
    <row r="246" spans="1:22" outlineLevel="1">
      <c r="A246" s="1" t="s">
        <v>399</v>
      </c>
      <c r="B246" s="1" t="s">
        <v>400</v>
      </c>
      <c r="C246" s="5">
        <v>1527.19</v>
      </c>
      <c r="D246" s="5">
        <v>90.52</v>
      </c>
      <c r="E246" s="5">
        <v>0</v>
      </c>
      <c r="F246" s="2"/>
      <c r="G246" s="2">
        <f t="shared" si="26"/>
        <v>539.23666666666668</v>
      </c>
      <c r="H246" s="8">
        <v>1</v>
      </c>
      <c r="J246" s="2">
        <f t="shared" si="27"/>
        <v>539.23666666666668</v>
      </c>
      <c r="L246" s="9">
        <f t="shared" si="21"/>
        <v>1.4892351869335578E-5</v>
      </c>
      <c r="N246" s="2">
        <f>L246*([1]assessment!$J$272*[1]assessment!$F$3)</f>
        <v>536.3694260775236</v>
      </c>
      <c r="P246" s="7">
        <f>N246/[1]payroll!$F246</f>
        <v>5.4848164973746707E-5</v>
      </c>
      <c r="R246" s="2">
        <f>IF(P246&lt;$R$2,N246,[1]payroll!$F246*$R$2)</f>
        <v>536.3694260775236</v>
      </c>
      <c r="T246" s="10">
        <f t="shared" si="22"/>
        <v>0</v>
      </c>
      <c r="V246" s="1">
        <f t="shared" si="23"/>
        <v>1</v>
      </c>
    </row>
    <row r="247" spans="1:22" outlineLevel="1">
      <c r="A247" s="1" t="s">
        <v>401</v>
      </c>
      <c r="B247" s="1" t="s">
        <v>402</v>
      </c>
      <c r="C247" s="5">
        <v>0</v>
      </c>
      <c r="D247" s="5">
        <v>0</v>
      </c>
      <c r="E247" s="5">
        <v>0</v>
      </c>
      <c r="F247" s="2"/>
      <c r="G247" s="2">
        <f t="shared" si="26"/>
        <v>0</v>
      </c>
      <c r="H247" s="8">
        <v>1</v>
      </c>
      <c r="J247" s="2">
        <f t="shared" si="27"/>
        <v>0</v>
      </c>
      <c r="L247" s="9">
        <f t="shared" si="21"/>
        <v>0</v>
      </c>
      <c r="N247" s="2">
        <f>L247*([1]assessment!$J$272*[1]assessment!$F$3)</f>
        <v>0</v>
      </c>
      <c r="P247" s="7">
        <f>N247/[1]payroll!$F247</f>
        <v>0</v>
      </c>
      <c r="R247" s="2">
        <f>IF(P247&lt;$R$2,N247,[1]payroll!$F247*$R$2)</f>
        <v>0</v>
      </c>
      <c r="T247" s="10">
        <f t="shared" si="22"/>
        <v>0</v>
      </c>
      <c r="V247" s="1" t="e">
        <f t="shared" si="23"/>
        <v>#DIV/0!</v>
      </c>
    </row>
    <row r="248" spans="1:22" outlineLevel="1">
      <c r="A248" s="1" t="s">
        <v>403</v>
      </c>
      <c r="B248" s="1" t="s">
        <v>404</v>
      </c>
      <c r="C248" s="5">
        <v>158.44999999999999</v>
      </c>
      <c r="D248" s="5">
        <v>0</v>
      </c>
      <c r="E248" s="5">
        <v>0</v>
      </c>
      <c r="F248" s="2"/>
      <c r="G248" s="2">
        <f t="shared" si="26"/>
        <v>52.816666666666663</v>
      </c>
      <c r="H248" s="8">
        <v>1</v>
      </c>
      <c r="J248" s="2">
        <f t="shared" si="27"/>
        <v>52.816666666666663</v>
      </c>
      <c r="L248" s="9">
        <f t="shared" si="21"/>
        <v>1.4586626488655086E-6</v>
      </c>
      <c r="N248" s="2">
        <f>L248*([1]assessment!$J$272*[1]assessment!$F$3)</f>
        <v>52.535828771524933</v>
      </c>
      <c r="P248" s="7">
        <f>N248/[1]payroll!$F248</f>
        <v>2.2629238381671363E-5</v>
      </c>
      <c r="R248" s="2">
        <f>IF(P248&lt;$R$2,N248,[1]payroll!$F248*$R$2)</f>
        <v>52.535828771524933</v>
      </c>
      <c r="T248" s="10">
        <f t="shared" si="22"/>
        <v>0</v>
      </c>
      <c r="V248" s="1">
        <f t="shared" si="23"/>
        <v>1</v>
      </c>
    </row>
    <row r="249" spans="1:22" outlineLevel="1">
      <c r="A249" s="1" t="s">
        <v>405</v>
      </c>
      <c r="B249" s="1" t="s">
        <v>406</v>
      </c>
      <c r="C249" s="5">
        <v>0</v>
      </c>
      <c r="D249" s="5">
        <v>0</v>
      </c>
      <c r="E249" s="5">
        <v>0</v>
      </c>
      <c r="F249" s="2"/>
      <c r="G249" s="2">
        <f t="shared" si="26"/>
        <v>0</v>
      </c>
      <c r="H249" s="8">
        <v>1</v>
      </c>
      <c r="J249" s="2">
        <f t="shared" si="27"/>
        <v>0</v>
      </c>
      <c r="L249" s="9">
        <f t="shared" si="21"/>
        <v>0</v>
      </c>
      <c r="N249" s="2">
        <f>L249*([1]assessment!$J$272*[1]assessment!$F$3)</f>
        <v>0</v>
      </c>
      <c r="P249" s="7">
        <f>N249/[1]payroll!$F249</f>
        <v>0</v>
      </c>
      <c r="R249" s="2">
        <f>IF(P249&lt;$R$2,N249,[1]payroll!$F249*$R$2)</f>
        <v>0</v>
      </c>
      <c r="T249" s="10">
        <f t="shared" si="22"/>
        <v>0</v>
      </c>
      <c r="V249" s="1" t="e">
        <f t="shared" si="23"/>
        <v>#DIV/0!</v>
      </c>
    </row>
    <row r="250" spans="1:22" outlineLevel="1">
      <c r="A250" s="1" t="s">
        <v>407</v>
      </c>
      <c r="B250" s="1" t="s">
        <v>408</v>
      </c>
      <c r="C250" s="5">
        <v>0</v>
      </c>
      <c r="D250" s="5">
        <v>0</v>
      </c>
      <c r="E250" s="5">
        <v>0</v>
      </c>
      <c r="F250" s="2"/>
      <c r="G250" s="2">
        <f t="shared" si="26"/>
        <v>0</v>
      </c>
      <c r="H250" s="8">
        <v>1</v>
      </c>
      <c r="J250" s="2">
        <f t="shared" si="27"/>
        <v>0</v>
      </c>
      <c r="L250" s="9">
        <f t="shared" si="21"/>
        <v>0</v>
      </c>
      <c r="N250" s="2">
        <f>L250*([1]assessment!$J$272*[1]assessment!$F$3)</f>
        <v>0</v>
      </c>
      <c r="P250" s="7">
        <f>N250/[1]payroll!$F250</f>
        <v>0</v>
      </c>
      <c r="R250" s="2">
        <f>IF(P250&lt;$R$2,N250,[1]payroll!$F250*$R$2)</f>
        <v>0</v>
      </c>
      <c r="T250" s="10">
        <f t="shared" si="22"/>
        <v>0</v>
      </c>
      <c r="V250" s="1" t="e">
        <f t="shared" si="23"/>
        <v>#DIV/0!</v>
      </c>
    </row>
    <row r="251" spans="1:22" outlineLevel="1">
      <c r="A251" s="1" t="s">
        <v>409</v>
      </c>
      <c r="B251" s="1" t="s">
        <v>410</v>
      </c>
      <c r="C251" s="5">
        <v>462.5</v>
      </c>
      <c r="D251" s="5">
        <v>0</v>
      </c>
      <c r="E251" s="5">
        <v>1545.61</v>
      </c>
      <c r="F251" s="2"/>
      <c r="G251" s="2">
        <f t="shared" si="26"/>
        <v>669.37</v>
      </c>
      <c r="H251" s="8">
        <v>1</v>
      </c>
      <c r="J251" s="2">
        <f t="shared" si="27"/>
        <v>669.37</v>
      </c>
      <c r="L251" s="9">
        <f t="shared" si="21"/>
        <v>1.848630515502251E-5</v>
      </c>
      <c r="N251" s="2">
        <f>L251*([1]assessment!$J$272*[1]assessment!$F$3)</f>
        <v>665.81081170329412</v>
      </c>
      <c r="P251" s="7">
        <f>N251/[1]payroll!$F251</f>
        <v>2.5831644496960866E-4</v>
      </c>
      <c r="R251" s="2">
        <f>IF(P251&lt;$R$2,N251,[1]payroll!$F251*$R$2)</f>
        <v>665.81081170329412</v>
      </c>
      <c r="T251" s="10">
        <f t="shared" si="22"/>
        <v>0</v>
      </c>
      <c r="V251" s="1">
        <f t="shared" si="23"/>
        <v>1</v>
      </c>
    </row>
    <row r="252" spans="1:22" outlineLevel="1">
      <c r="A252" s="1" t="s">
        <v>411</v>
      </c>
      <c r="B252" s="1" t="s">
        <v>412</v>
      </c>
      <c r="C252" s="5">
        <v>0</v>
      </c>
      <c r="D252" s="5">
        <v>0</v>
      </c>
      <c r="E252" s="5">
        <v>180</v>
      </c>
      <c r="F252" s="2"/>
      <c r="G252" s="2">
        <f t="shared" si="26"/>
        <v>60</v>
      </c>
      <c r="H252" s="8">
        <v>1</v>
      </c>
      <c r="J252" s="2">
        <f t="shared" si="27"/>
        <v>60</v>
      </c>
      <c r="L252" s="9">
        <f t="shared" si="21"/>
        <v>1.6570481337695902E-6</v>
      </c>
      <c r="N252" s="2">
        <f>L252*([1]assessment!$J$272*[1]assessment!$F$3)</f>
        <v>59.680966733193372</v>
      </c>
      <c r="P252" s="7">
        <f>N252/[1]payroll!$F252</f>
        <v>4.7937980193067174E-5</v>
      </c>
      <c r="R252" s="2">
        <f>IF(P252&lt;$R$2,N252,[1]payroll!$F252*$R$2)</f>
        <v>59.680966733193372</v>
      </c>
      <c r="T252" s="10">
        <f t="shared" si="22"/>
        <v>0</v>
      </c>
      <c r="V252" s="1">
        <f t="shared" si="23"/>
        <v>1</v>
      </c>
    </row>
    <row r="253" spans="1:22" outlineLevel="1">
      <c r="A253" s="1" t="s">
        <v>413</v>
      </c>
      <c r="B253" s="1" t="s">
        <v>414</v>
      </c>
      <c r="C253" s="5">
        <v>0</v>
      </c>
      <c r="D253" s="5">
        <v>6440.38</v>
      </c>
      <c r="E253" s="5">
        <v>37632.019999999997</v>
      </c>
      <c r="F253" s="2"/>
      <c r="G253" s="2">
        <f t="shared" si="26"/>
        <v>14690.799999999997</v>
      </c>
      <c r="H253" s="8">
        <v>1</v>
      </c>
      <c r="J253" s="2">
        <f t="shared" si="27"/>
        <v>14690.799999999997</v>
      </c>
      <c r="L253" s="9">
        <f t="shared" si="21"/>
        <v>4.0572271205970489E-4</v>
      </c>
      <c r="N253" s="2">
        <f>L253*([1]assessment!$J$272*[1]assessment!$F$3)</f>
        <v>14612.685768066618</v>
      </c>
      <c r="P253" s="7">
        <f>N253/[1]payroll!$F253</f>
        <v>7.2596602077408161E-3</v>
      </c>
      <c r="R253" s="2">
        <f>IF(P253&lt;$R$2,N253,[1]payroll!$F253*$R$2)</f>
        <v>14612.685768066618</v>
      </c>
      <c r="T253" s="10">
        <f t="shared" si="22"/>
        <v>0</v>
      </c>
      <c r="V253" s="1">
        <f t="shared" si="23"/>
        <v>1</v>
      </c>
    </row>
    <row r="254" spans="1:22" outlineLevel="1">
      <c r="A254" s="1" t="s">
        <v>415</v>
      </c>
      <c r="B254" s="1" t="s">
        <v>416</v>
      </c>
      <c r="C254" s="5">
        <v>0</v>
      </c>
      <c r="D254" s="5">
        <v>0</v>
      </c>
      <c r="E254" s="5">
        <v>0</v>
      </c>
      <c r="F254" s="2"/>
      <c r="G254" s="2">
        <f t="shared" si="26"/>
        <v>0</v>
      </c>
      <c r="H254" s="8">
        <v>1</v>
      </c>
      <c r="J254" s="2">
        <f t="shared" si="27"/>
        <v>0</v>
      </c>
      <c r="L254" s="9">
        <f t="shared" si="21"/>
        <v>0</v>
      </c>
      <c r="N254" s="2">
        <f>L254*([1]assessment!$J$272*[1]assessment!$F$3)</f>
        <v>0</v>
      </c>
      <c r="P254" s="7">
        <f>N254/[1]payroll!$F254</f>
        <v>0</v>
      </c>
      <c r="R254" s="2">
        <f>IF(P254&lt;$R$2,N254,[1]payroll!$F254*$R$2)</f>
        <v>0</v>
      </c>
      <c r="T254" s="10">
        <f t="shared" si="22"/>
        <v>0</v>
      </c>
      <c r="V254" s="1" t="e">
        <f t="shared" si="23"/>
        <v>#DIV/0!</v>
      </c>
    </row>
    <row r="255" spans="1:22" outlineLevel="1">
      <c r="A255" s="1" t="s">
        <v>417</v>
      </c>
      <c r="B255" s="1" t="s">
        <v>418</v>
      </c>
      <c r="C255" s="5">
        <v>0</v>
      </c>
      <c r="D255" s="5">
        <v>0</v>
      </c>
      <c r="E255" s="5">
        <v>0</v>
      </c>
      <c r="F255" s="2"/>
      <c r="G255" s="2">
        <f t="shared" si="26"/>
        <v>0</v>
      </c>
      <c r="H255" s="8">
        <v>1</v>
      </c>
      <c r="J255" s="2">
        <f t="shared" si="27"/>
        <v>0</v>
      </c>
      <c r="L255" s="9">
        <f t="shared" si="21"/>
        <v>0</v>
      </c>
      <c r="N255" s="2">
        <f>L255*([1]assessment!$J$272*[1]assessment!$F$3)</f>
        <v>0</v>
      </c>
      <c r="P255" s="7">
        <f>N255/[1]payroll!$F255</f>
        <v>0</v>
      </c>
      <c r="R255" s="2">
        <f>IF(P255&lt;$R$2,N255,[1]payroll!$F255*$R$2)</f>
        <v>0</v>
      </c>
      <c r="T255" s="10">
        <f t="shared" si="22"/>
        <v>0</v>
      </c>
      <c r="V255" s="1" t="e">
        <f t="shared" si="23"/>
        <v>#DIV/0!</v>
      </c>
    </row>
    <row r="256" spans="1:22" outlineLevel="1">
      <c r="A256" s="1" t="s">
        <v>419</v>
      </c>
      <c r="B256" s="1" t="s">
        <v>420</v>
      </c>
      <c r="C256" s="5">
        <v>0</v>
      </c>
      <c r="D256" s="5">
        <v>0</v>
      </c>
      <c r="E256" s="5">
        <v>0</v>
      </c>
      <c r="F256" s="2"/>
      <c r="G256" s="2">
        <f t="shared" si="26"/>
        <v>0</v>
      </c>
      <c r="H256" s="8">
        <v>1</v>
      </c>
      <c r="J256" s="2">
        <f t="shared" si="27"/>
        <v>0</v>
      </c>
      <c r="L256" s="9">
        <f t="shared" si="21"/>
        <v>0</v>
      </c>
      <c r="N256" s="2">
        <f>L256*([1]assessment!$J$272*[1]assessment!$F$3)</f>
        <v>0</v>
      </c>
      <c r="P256" s="7">
        <f>N256/[1]payroll!$F256</f>
        <v>0</v>
      </c>
      <c r="R256" s="2">
        <f>IF(P256&lt;$R$2,N256,[1]payroll!$F256*$R$2)</f>
        <v>0</v>
      </c>
      <c r="T256" s="10">
        <f t="shared" si="22"/>
        <v>0</v>
      </c>
      <c r="V256" s="1" t="e">
        <f t="shared" si="23"/>
        <v>#DIV/0!</v>
      </c>
    </row>
    <row r="257" spans="1:22" outlineLevel="1">
      <c r="A257" s="1" t="s">
        <v>421</v>
      </c>
      <c r="B257" s="1" t="s">
        <v>422</v>
      </c>
      <c r="C257" s="5">
        <v>0</v>
      </c>
      <c r="D257" s="5">
        <v>0</v>
      </c>
      <c r="E257" s="5">
        <v>1333.39</v>
      </c>
      <c r="F257" s="2"/>
      <c r="G257" s="2">
        <f t="shared" si="26"/>
        <v>444.46333333333337</v>
      </c>
      <c r="H257" s="8">
        <v>1</v>
      </c>
      <c r="J257" s="2">
        <f t="shared" si="27"/>
        <v>444.46333333333337</v>
      </c>
      <c r="L257" s="9">
        <f t="shared" si="21"/>
        <v>1.2274952283816857E-5</v>
      </c>
      <c r="N257" s="2">
        <f>L257*([1]assessment!$J$272*[1]assessment!$F$3)</f>
        <v>442.10002351318178</v>
      </c>
      <c r="P257" s="7">
        <f>N257/[1]payroll!$F257</f>
        <v>1.1120367029438643E-4</v>
      </c>
      <c r="R257" s="2">
        <f>IF(P257&lt;$R$2,N257,[1]payroll!$F257*$R$2)</f>
        <v>442.10002351318178</v>
      </c>
      <c r="T257" s="10">
        <f t="shared" si="22"/>
        <v>0</v>
      </c>
      <c r="V257" s="1">
        <f t="shared" si="23"/>
        <v>1</v>
      </c>
    </row>
    <row r="258" spans="1:22" outlineLevel="1">
      <c r="A258" s="1" t="s">
        <v>423</v>
      </c>
      <c r="B258" s="1" t="s">
        <v>424</v>
      </c>
      <c r="C258" s="5">
        <v>0</v>
      </c>
      <c r="D258" s="5">
        <v>0</v>
      </c>
      <c r="E258" s="5">
        <v>0</v>
      </c>
      <c r="F258" s="2"/>
      <c r="G258" s="2">
        <f t="shared" si="26"/>
        <v>0</v>
      </c>
      <c r="H258" s="8">
        <v>1</v>
      </c>
      <c r="J258" s="2">
        <f t="shared" si="27"/>
        <v>0</v>
      </c>
      <c r="L258" s="9">
        <f t="shared" si="21"/>
        <v>0</v>
      </c>
      <c r="N258" s="2">
        <f>L258*([1]assessment!$J$272*[1]assessment!$F$3)</f>
        <v>0</v>
      </c>
      <c r="P258" s="7">
        <f>N258/[1]payroll!$F258</f>
        <v>0</v>
      </c>
      <c r="R258" s="2">
        <f>IF(P258&lt;$R$2,N258,[1]payroll!$F258*$R$2)</f>
        <v>0</v>
      </c>
      <c r="T258" s="10">
        <f t="shared" si="22"/>
        <v>0</v>
      </c>
      <c r="V258" s="1" t="e">
        <f t="shared" si="23"/>
        <v>#DIV/0!</v>
      </c>
    </row>
    <row r="259" spans="1:22" outlineLevel="1">
      <c r="A259" s="1" t="s">
        <v>549</v>
      </c>
      <c r="B259" s="1" t="s">
        <v>550</v>
      </c>
      <c r="C259" s="5">
        <v>0</v>
      </c>
      <c r="D259" s="5">
        <v>0</v>
      </c>
      <c r="E259" s="5">
        <v>0</v>
      </c>
      <c r="F259" s="2"/>
      <c r="G259" s="2">
        <f t="shared" si="26"/>
        <v>0</v>
      </c>
      <c r="H259" s="8">
        <v>1</v>
      </c>
      <c r="J259" s="2">
        <f t="shared" si="27"/>
        <v>0</v>
      </c>
      <c r="L259" s="9">
        <f t="shared" si="21"/>
        <v>0</v>
      </c>
      <c r="N259" s="2">
        <f>L259*([1]assessment!$J$272*[1]assessment!$F$3)</f>
        <v>0</v>
      </c>
      <c r="P259" s="7">
        <f>N259/[1]payroll!$F259</f>
        <v>0</v>
      </c>
      <c r="R259" s="2">
        <f>IF(P259&lt;$R$2,N259,[1]payroll!$F259*$R$2)</f>
        <v>0</v>
      </c>
      <c r="T259" s="10">
        <f t="shared" si="22"/>
        <v>0</v>
      </c>
      <c r="V259" s="1" t="e">
        <f t="shared" si="23"/>
        <v>#DIV/0!</v>
      </c>
    </row>
    <row r="260" spans="1:22" outlineLevel="1">
      <c r="A260" s="1" t="s">
        <v>425</v>
      </c>
      <c r="B260" s="1" t="s">
        <v>426</v>
      </c>
      <c r="C260" s="5">
        <v>0</v>
      </c>
      <c r="D260" s="5">
        <v>0</v>
      </c>
      <c r="E260" s="5">
        <v>0</v>
      </c>
      <c r="F260" s="2"/>
      <c r="G260" s="2">
        <f t="shared" si="26"/>
        <v>0</v>
      </c>
      <c r="H260" s="8">
        <v>1</v>
      </c>
      <c r="J260" s="2">
        <f t="shared" si="27"/>
        <v>0</v>
      </c>
      <c r="L260" s="9">
        <f t="shared" si="21"/>
        <v>0</v>
      </c>
      <c r="N260" s="2">
        <f>L260*([1]assessment!$J$272*[1]assessment!$F$3)</f>
        <v>0</v>
      </c>
      <c r="P260" s="7">
        <f>N260/[1]payroll!$F260</f>
        <v>0</v>
      </c>
      <c r="R260" s="2">
        <f>IF(P260&lt;$R$2,N260,[1]payroll!$F260*$R$2)</f>
        <v>0</v>
      </c>
      <c r="T260" s="10">
        <f t="shared" si="22"/>
        <v>0</v>
      </c>
      <c r="V260" s="1" t="e">
        <f t="shared" si="23"/>
        <v>#DIV/0!</v>
      </c>
    </row>
    <row r="261" spans="1:22" outlineLevel="1">
      <c r="A261" s="1" t="s">
        <v>427</v>
      </c>
      <c r="B261" s="1" t="s">
        <v>428</v>
      </c>
      <c r="C261" s="5">
        <v>0</v>
      </c>
      <c r="D261" s="5">
        <v>0</v>
      </c>
      <c r="E261" s="5">
        <v>0</v>
      </c>
      <c r="F261" s="2"/>
      <c r="G261" s="2">
        <f t="shared" si="26"/>
        <v>0</v>
      </c>
      <c r="H261" s="8">
        <v>1</v>
      </c>
      <c r="J261" s="2">
        <f t="shared" si="27"/>
        <v>0</v>
      </c>
      <c r="L261" s="9">
        <f t="shared" si="21"/>
        <v>0</v>
      </c>
      <c r="N261" s="2">
        <f>L261*([1]assessment!$J$272*[1]assessment!$F$3)</f>
        <v>0</v>
      </c>
      <c r="P261" s="7">
        <f>N261/[1]payroll!$F261</f>
        <v>0</v>
      </c>
      <c r="R261" s="2">
        <f>IF(P261&lt;$R$2,N261,[1]payroll!$F261*$R$2)</f>
        <v>0</v>
      </c>
      <c r="T261" s="10">
        <f t="shared" si="22"/>
        <v>0</v>
      </c>
      <c r="V261" s="1" t="e">
        <f t="shared" si="23"/>
        <v>#DIV/0!</v>
      </c>
    </row>
    <row r="262" spans="1:22">
      <c r="B262" s="1" t="s">
        <v>472</v>
      </c>
      <c r="C262" s="5">
        <f>SUBTOTAL(9,C140:C261)</f>
        <v>167871.63000000006</v>
      </c>
      <c r="D262" s="5">
        <f>SUBTOTAL(9,D140:D261)</f>
        <v>257669.30999999997</v>
      </c>
      <c r="E262" s="5">
        <f>SUBTOTAL(9,E140:E261)</f>
        <v>338953.00000000006</v>
      </c>
      <c r="F262" s="2"/>
      <c r="G262" s="2">
        <f>SUBTOTAL(9,G140:G261)</f>
        <v>265030.84333333332</v>
      </c>
      <c r="H262" s="8">
        <f>+J262/G262</f>
        <v>1</v>
      </c>
      <c r="J262" s="2">
        <f>SUBTOTAL(9,J140:J261)</f>
        <v>265030.84333333332</v>
      </c>
      <c r="L262" s="9">
        <f>SUBTOTAL(9,L140:L261)</f>
        <v>7.3194810722813442E-3</v>
      </c>
      <c r="N262" s="2">
        <f>SUBTOTAL(9,N140:N261)</f>
        <v>263621.61573744757</v>
      </c>
      <c r="P262" s="2">
        <f>SUBTOTAL(9,P140:P261)</f>
        <v>0.29018581876489452</v>
      </c>
      <c r="Q262" s="2">
        <f t="shared" ref="Q262" si="28">SUBTOTAL(9,Q140:Q261)</f>
        <v>0</v>
      </c>
      <c r="R262" s="2">
        <f>SUBTOTAL(9,R140:R261)</f>
        <v>214368.0437603074</v>
      </c>
      <c r="T262" s="10">
        <f>SUBTOTAL(9,T140:T261)</f>
        <v>49253.571977140149</v>
      </c>
      <c r="V262" s="1">
        <f t="shared" si="23"/>
        <v>0.81316565472311653</v>
      </c>
    </row>
    <row r="263" spans="1:22">
      <c r="C263" s="5"/>
      <c r="D263" s="5"/>
      <c r="E263" s="5"/>
      <c r="F263" s="2"/>
      <c r="G263" s="2"/>
      <c r="J263" s="2"/>
      <c r="N263" s="2"/>
      <c r="R263" s="2"/>
      <c r="T263" s="23"/>
    </row>
    <row r="264" spans="1:22" ht="13.5" thickBot="1">
      <c r="C264" s="73">
        <f>SUBTOTAL(9,C4:C263)</f>
        <v>33285186.390000008</v>
      </c>
      <c r="D264" s="73">
        <f>SUBTOTAL(9,D4:D263)</f>
        <v>35496894.900000021</v>
      </c>
      <c r="E264" s="73">
        <f>SUBTOTAL(9,E4:E263)</f>
        <v>39814218.959999979</v>
      </c>
      <c r="F264" s="2"/>
      <c r="G264" s="15">
        <f>SUBTOTAL(9,G4:G263)</f>
        <v>36208966.279999986</v>
      </c>
      <c r="H264" s="8">
        <f>+J264/G264</f>
        <v>1</v>
      </c>
      <c r="J264" s="15">
        <f>SUBTOTAL(9,J4:J263)</f>
        <v>36208966.279999986</v>
      </c>
      <c r="L264" s="46">
        <f>SUBTOTAL(9,L4:L263)</f>
        <v>1.0000000000000004</v>
      </c>
      <c r="N264" s="15">
        <f>SUBTOTAL(9,N5:N263)</f>
        <v>36016435.200000025</v>
      </c>
      <c r="P264" s="7">
        <f>N264/payroll!F264</f>
        <v>2.980452429019495E-3</v>
      </c>
      <c r="R264" s="15">
        <f>SUBTOTAL(9,R5:R263)</f>
        <v>35967181.628022879</v>
      </c>
      <c r="T264" s="10">
        <f>SUBTOTAL(9,T4:T263)</f>
        <v>49253.571977140149</v>
      </c>
    </row>
    <row r="265" spans="1:22" ht="13.5" thickTop="1"/>
    <row r="266" spans="1:22">
      <c r="C266" s="37"/>
      <c r="D266" s="37"/>
      <c r="E266" s="37"/>
    </row>
    <row r="267" spans="1:22">
      <c r="C267" s="92"/>
      <c r="D267" s="92"/>
      <c r="E267" s="93"/>
    </row>
    <row r="268" spans="1:22">
      <c r="C268" s="37"/>
      <c r="D268" s="37"/>
      <c r="E268" s="37"/>
    </row>
    <row r="269" spans="1:22">
      <c r="C269" s="37"/>
      <c r="D269" s="37"/>
      <c r="E269" s="37"/>
    </row>
    <row r="270" spans="1:22">
      <c r="C270" s="92"/>
      <c r="D270" s="92"/>
      <c r="E270" s="92"/>
    </row>
    <row r="272" spans="1:22">
      <c r="C272" s="5"/>
      <c r="D272" s="5"/>
      <c r="E272" s="5"/>
    </row>
    <row r="274" spans="5:5">
      <c r="E274" s="5"/>
    </row>
  </sheetData>
  <sortState xmlns:xlrd2="http://schemas.microsoft.com/office/spreadsheetml/2017/richdata2" ref="A140:X261">
    <sortCondition ref="A140:A261"/>
  </sortState>
  <phoneticPr fontId="5" type="noConversion"/>
  <printOptions horizontalCentered="1"/>
  <pageMargins left="0.25" right="0.25" top="0.95" bottom="0.5" header="0.5" footer="0.25"/>
  <pageSetup scale="64" orientation="landscape" horizontalDpi="4294967292" r:id="rId1"/>
  <headerFooter alignWithMargins="0">
    <oddHeader>&amp;C&amp;"Arial,Bold"&amp;14State Office of Risk Management
FY 2026 Assessment Amounts</oddHeader>
    <oddFooter>&amp;L &amp;D&amp;CPage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invoices</vt:lpstr>
      <vt:lpstr>assessment</vt:lpstr>
      <vt:lpstr>payroll</vt:lpstr>
      <vt:lpstr>IFR</vt:lpstr>
      <vt:lpstr>claims</vt:lpstr>
      <vt:lpstr>costs</vt:lpstr>
      <vt:lpstr>assessment!Print_Titles</vt:lpstr>
      <vt:lpstr>claims!Print_Titles</vt:lpstr>
      <vt:lpstr>costs!Print_Titles</vt:lpstr>
      <vt:lpstr>IFR!Print_Titles</vt:lpstr>
      <vt:lpstr>invoices!Print_Titles</vt:lpstr>
      <vt:lpstr>payroll!Print_Titles</vt:lpstr>
    </vt:vector>
  </TitlesOfParts>
  <Company>Srate Office Of Risk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</dc:creator>
  <cp:lastModifiedBy>Bennett, Anthony</cp:lastModifiedBy>
  <cp:lastPrinted>2026-04-27T18:42:17Z</cp:lastPrinted>
  <dcterms:created xsi:type="dcterms:W3CDTF">2001-09-27T20:26:12Z</dcterms:created>
  <dcterms:modified xsi:type="dcterms:W3CDTF">2026-08-31T16:54:45Z</dcterms:modified>
</cp:coreProperties>
</file>